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Январь\Уборка\Закупочная\"/>
    </mc:Choice>
  </mc:AlternateContent>
  <bookViews>
    <workbookView xWindow="0" yWindow="0" windowWidth="28800" windowHeight="12435"/>
  </bookViews>
  <sheets>
    <sheet name="Уборка" sheetId="1" r:id="rId1"/>
  </sheets>
  <definedNames>
    <definedName name="_xlnm._FilterDatabase" localSheetId="0" hidden="1">Уборка!$A$5:$AZ$222</definedName>
    <definedName name="_xlnm.Print_Titles" localSheetId="0">Уборка!$7:$10</definedName>
    <definedName name="_xlnm.Print_Area" localSheetId="0">Уборка!$A$1:$AZ$236</definedName>
  </definedNames>
  <calcPr calcId="15251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5" i="1"/>
  <c r="I56" i="1"/>
  <c r="I57" i="1"/>
  <c r="I58" i="1"/>
  <c r="I59" i="1"/>
  <c r="I60" i="1"/>
  <c r="I61" i="1"/>
  <c r="I62" i="1"/>
  <c r="I65" i="1"/>
  <c r="I66" i="1"/>
  <c r="I67" i="1"/>
  <c r="I68" i="1"/>
  <c r="I69" i="1"/>
  <c r="I70" i="1"/>
  <c r="I71" i="1"/>
  <c r="I72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100" i="1"/>
  <c r="I101" i="1"/>
  <c r="I103" i="1"/>
  <c r="I104" i="1"/>
  <c r="I105" i="1"/>
  <c r="I106" i="1"/>
  <c r="I107" i="1"/>
  <c r="I108" i="1"/>
  <c r="I109" i="1"/>
  <c r="I110" i="1"/>
  <c r="I113" i="1"/>
  <c r="I114" i="1"/>
  <c r="I115" i="1"/>
  <c r="I116" i="1"/>
  <c r="I117" i="1"/>
  <c r="I118" i="1"/>
  <c r="I119" i="1"/>
  <c r="I121" i="1"/>
  <c r="I122" i="1"/>
  <c r="I123" i="1"/>
  <c r="I125" i="1"/>
  <c r="I126" i="1"/>
  <c r="I127" i="1"/>
  <c r="I130" i="1"/>
  <c r="I131" i="1"/>
  <c r="I132" i="1"/>
  <c r="I133" i="1"/>
  <c r="I134" i="1"/>
  <c r="I135" i="1"/>
  <c r="I136" i="1"/>
  <c r="I138" i="1"/>
  <c r="I139" i="1"/>
  <c r="I140" i="1"/>
  <c r="I142" i="1"/>
  <c r="I143" i="1"/>
  <c r="I144" i="1"/>
  <c r="I146" i="1"/>
  <c r="I148" i="1"/>
  <c r="I150" i="1"/>
  <c r="I152" i="1"/>
  <c r="I154" i="1"/>
  <c r="I156" i="1"/>
  <c r="I157" i="1"/>
  <c r="I159" i="1"/>
  <c r="I160" i="1"/>
  <c r="I161" i="1"/>
  <c r="I162" i="1"/>
  <c r="I164" i="1"/>
  <c r="I165" i="1"/>
  <c r="I166" i="1"/>
  <c r="I168" i="1"/>
  <c r="I169" i="1"/>
  <c r="I170" i="1"/>
  <c r="I171" i="1"/>
  <c r="I173" i="1"/>
  <c r="I174" i="1"/>
  <c r="I176" i="1"/>
  <c r="I177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 l="1"/>
  <c r="S12" i="1"/>
  <c r="AX32" i="1" l="1"/>
  <c r="AX33" i="1"/>
  <c r="AX34" i="1"/>
  <c r="AX35" i="1"/>
  <c r="AX36" i="1"/>
  <c r="AX37" i="1"/>
  <c r="AX38" i="1"/>
  <c r="AX39" i="1"/>
  <c r="AX40" i="1"/>
  <c r="AX41" i="1"/>
  <c r="AU32" i="1"/>
  <c r="AW32" i="1" s="1"/>
  <c r="AU33" i="1"/>
  <c r="AW33" i="1" s="1"/>
  <c r="AU34" i="1"/>
  <c r="AW34" i="1" s="1"/>
  <c r="AU35" i="1"/>
  <c r="AW35" i="1" s="1"/>
  <c r="AU36" i="1"/>
  <c r="AW36" i="1" s="1"/>
  <c r="AU37" i="1"/>
  <c r="AW37" i="1" s="1"/>
  <c r="AU38" i="1"/>
  <c r="AW38" i="1" s="1"/>
  <c r="AU39" i="1"/>
  <c r="AW39" i="1" s="1"/>
  <c r="AU40" i="1"/>
  <c r="AW40" i="1" s="1"/>
  <c r="AU41" i="1"/>
  <c r="AW41" i="1" s="1"/>
  <c r="AO32" i="1"/>
  <c r="AO33" i="1"/>
  <c r="AO34" i="1"/>
  <c r="AO35" i="1"/>
  <c r="AO36" i="1"/>
  <c r="AO37" i="1"/>
  <c r="AO38" i="1"/>
  <c r="AO39" i="1"/>
  <c r="AO40" i="1"/>
  <c r="AO41" i="1"/>
  <c r="AM32" i="1"/>
  <c r="AM33" i="1"/>
  <c r="AM34" i="1"/>
  <c r="AM35" i="1"/>
  <c r="AM36" i="1"/>
  <c r="AM37" i="1"/>
  <c r="AM38" i="1"/>
  <c r="AM39" i="1"/>
  <c r="AM40" i="1"/>
  <c r="AM41" i="1"/>
  <c r="AK32" i="1"/>
  <c r="AK33" i="1"/>
  <c r="AK34" i="1"/>
  <c r="AK35" i="1"/>
  <c r="AK36" i="1"/>
  <c r="AK37" i="1"/>
  <c r="AK38" i="1"/>
  <c r="AK39" i="1"/>
  <c r="AK40" i="1"/>
  <c r="AK41" i="1"/>
  <c r="AI32" i="1"/>
  <c r="AI33" i="1"/>
  <c r="AI34" i="1"/>
  <c r="AI35" i="1"/>
  <c r="AI36" i="1"/>
  <c r="AI37" i="1"/>
  <c r="AI38" i="1"/>
  <c r="AI39" i="1"/>
  <c r="AI40" i="1"/>
  <c r="AI41" i="1"/>
  <c r="AG32" i="1"/>
  <c r="AG33" i="1"/>
  <c r="AG34" i="1"/>
  <c r="AG35" i="1"/>
  <c r="AG36" i="1"/>
  <c r="AG37" i="1"/>
  <c r="AG38" i="1"/>
  <c r="AG39" i="1"/>
  <c r="AG40" i="1"/>
  <c r="AG41" i="1"/>
  <c r="AC32" i="1"/>
  <c r="AC33" i="1"/>
  <c r="AC34" i="1"/>
  <c r="AC35" i="1"/>
  <c r="AC36" i="1"/>
  <c r="AC37" i="1"/>
  <c r="AC38" i="1"/>
  <c r="AC39" i="1"/>
  <c r="AC40" i="1"/>
  <c r="AC41" i="1"/>
  <c r="AA32" i="1"/>
  <c r="AA33" i="1"/>
  <c r="AA34" i="1"/>
  <c r="AA35" i="1"/>
  <c r="AA36" i="1"/>
  <c r="AA37" i="1"/>
  <c r="AA38" i="1"/>
  <c r="AA39" i="1"/>
  <c r="AA40" i="1"/>
  <c r="AA41" i="1"/>
  <c r="Y32" i="1"/>
  <c r="Y33" i="1"/>
  <c r="Y34" i="1"/>
  <c r="Y35" i="1"/>
  <c r="Y36" i="1"/>
  <c r="Y37" i="1"/>
  <c r="Y38" i="1"/>
  <c r="Y39" i="1"/>
  <c r="Y40" i="1"/>
  <c r="Y41" i="1"/>
  <c r="W32" i="1"/>
  <c r="W33" i="1"/>
  <c r="W34" i="1"/>
  <c r="W35" i="1"/>
  <c r="W36" i="1"/>
  <c r="W37" i="1"/>
  <c r="W38" i="1"/>
  <c r="W39" i="1"/>
  <c r="W40" i="1"/>
  <c r="W41" i="1"/>
  <c r="W31" i="1"/>
  <c r="W28" i="1"/>
  <c r="W29" i="1"/>
  <c r="U32" i="1"/>
  <c r="U33" i="1"/>
  <c r="U34" i="1"/>
  <c r="U35" i="1"/>
  <c r="U36" i="1"/>
  <c r="U37" i="1"/>
  <c r="U38" i="1"/>
  <c r="U39" i="1"/>
  <c r="U40" i="1"/>
  <c r="U41" i="1"/>
  <c r="S32" i="1"/>
  <c r="S33" i="1"/>
  <c r="S34" i="1"/>
  <c r="S35" i="1"/>
  <c r="S36" i="1"/>
  <c r="S37" i="1"/>
  <c r="S38" i="1"/>
  <c r="S39" i="1"/>
  <c r="S40" i="1"/>
  <c r="S41" i="1"/>
  <c r="Q32" i="1"/>
  <c r="Q33" i="1"/>
  <c r="Q34" i="1"/>
  <c r="Q35" i="1"/>
  <c r="Q36" i="1"/>
  <c r="Q37" i="1"/>
  <c r="Q38" i="1"/>
  <c r="Q39" i="1"/>
  <c r="Q40" i="1"/>
  <c r="Q41" i="1"/>
  <c r="O32" i="1"/>
  <c r="O33" i="1"/>
  <c r="O34" i="1"/>
  <c r="O35" i="1"/>
  <c r="O36" i="1"/>
  <c r="O37" i="1"/>
  <c r="O38" i="1"/>
  <c r="O39" i="1"/>
  <c r="O40" i="1"/>
  <c r="O41" i="1"/>
  <c r="E32" i="1"/>
  <c r="E33" i="1"/>
  <c r="E34" i="1"/>
  <c r="E35" i="1"/>
  <c r="E36" i="1"/>
  <c r="E37" i="1"/>
  <c r="E38" i="1"/>
  <c r="E39" i="1"/>
  <c r="E40" i="1"/>
  <c r="E41" i="1"/>
  <c r="AO29" i="1"/>
  <c r="AO31" i="1"/>
  <c r="AM29" i="1"/>
  <c r="AM31" i="1"/>
  <c r="AK29" i="1"/>
  <c r="AK31" i="1"/>
  <c r="AI29" i="1"/>
  <c r="AI31" i="1"/>
  <c r="AG29" i="1"/>
  <c r="AG31" i="1"/>
  <c r="AC29" i="1"/>
  <c r="AC31" i="1"/>
  <c r="AA29" i="1"/>
  <c r="AA31" i="1"/>
  <c r="Y29" i="1"/>
  <c r="Y31" i="1"/>
  <c r="U29" i="1"/>
  <c r="U31" i="1"/>
  <c r="S29" i="1"/>
  <c r="S31" i="1"/>
  <c r="Q29" i="1"/>
  <c r="Q31" i="1"/>
  <c r="O29" i="1"/>
  <c r="O31" i="1"/>
  <c r="AU31" i="1"/>
  <c r="AW31" i="1" s="1"/>
  <c r="AX31" i="1"/>
  <c r="AU29" i="1"/>
  <c r="AW29" i="1" s="1"/>
  <c r="AX29" i="1"/>
  <c r="M31" i="1"/>
  <c r="K31" i="1"/>
  <c r="M32" i="1"/>
  <c r="M33" i="1"/>
  <c r="M34" i="1"/>
  <c r="M35" i="1"/>
  <c r="M36" i="1"/>
  <c r="M37" i="1"/>
  <c r="M38" i="1"/>
  <c r="M39" i="1"/>
  <c r="M40" i="1"/>
  <c r="M41" i="1"/>
  <c r="M29" i="1"/>
  <c r="M15" i="1"/>
  <c r="M16" i="1"/>
  <c r="M17" i="1"/>
  <c r="M18" i="1"/>
  <c r="M19" i="1"/>
  <c r="M21" i="1"/>
  <c r="M22" i="1"/>
  <c r="M24" i="1"/>
  <c r="M25" i="1"/>
  <c r="M26" i="1"/>
  <c r="M27" i="1"/>
  <c r="M28" i="1"/>
  <c r="K32" i="1"/>
  <c r="K33" i="1"/>
  <c r="K34" i="1"/>
  <c r="K35" i="1"/>
  <c r="K36" i="1"/>
  <c r="K37" i="1"/>
  <c r="K38" i="1"/>
  <c r="K39" i="1"/>
  <c r="K40" i="1"/>
  <c r="K41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E31" i="1"/>
  <c r="E29" i="1"/>
  <c r="AQ29" i="1" l="1"/>
  <c r="AP29" i="1" s="1"/>
  <c r="AY29" i="1" s="1"/>
  <c r="AQ41" i="1"/>
  <c r="AZ41" i="1" s="1"/>
  <c r="AQ40" i="1"/>
  <c r="AP40" i="1" s="1"/>
  <c r="AY40" i="1" s="1"/>
  <c r="AQ39" i="1"/>
  <c r="AP39" i="1" s="1"/>
  <c r="AY39" i="1" s="1"/>
  <c r="AQ38" i="1"/>
  <c r="AP38" i="1" s="1"/>
  <c r="AY38" i="1" s="1"/>
  <c r="AQ37" i="1"/>
  <c r="AZ37" i="1" s="1"/>
  <c r="AQ36" i="1"/>
  <c r="AP36" i="1" s="1"/>
  <c r="AY36" i="1" s="1"/>
  <c r="AQ35" i="1"/>
  <c r="AP35" i="1" s="1"/>
  <c r="AY35" i="1" s="1"/>
  <c r="AQ34" i="1"/>
  <c r="AP34" i="1" s="1"/>
  <c r="AY34" i="1" s="1"/>
  <c r="AQ33" i="1"/>
  <c r="AZ33" i="1" s="1"/>
  <c r="AQ32" i="1"/>
  <c r="AP32" i="1" s="1"/>
  <c r="AY32" i="1" s="1"/>
  <c r="AQ31" i="1"/>
  <c r="AZ31" i="1" s="1"/>
  <c r="E135" i="1"/>
  <c r="K135" i="1"/>
  <c r="M135" i="1"/>
  <c r="O135" i="1"/>
  <c r="Q135" i="1"/>
  <c r="S135" i="1"/>
  <c r="U135" i="1"/>
  <c r="W135" i="1"/>
  <c r="Y135" i="1"/>
  <c r="AA135" i="1"/>
  <c r="AC135" i="1"/>
  <c r="AG135" i="1"/>
  <c r="AI135" i="1"/>
  <c r="AK135" i="1"/>
  <c r="AM135" i="1"/>
  <c r="AO135" i="1"/>
  <c r="AU135" i="1"/>
  <c r="AW135" i="1" s="1"/>
  <c r="AX135" i="1"/>
  <c r="AZ29" i="1" l="1"/>
  <c r="AP41" i="1"/>
  <c r="AY41" i="1" s="1"/>
  <c r="AP37" i="1"/>
  <c r="AY37" i="1" s="1"/>
  <c r="AP33" i="1"/>
  <c r="AY33" i="1" s="1"/>
  <c r="AZ39" i="1"/>
  <c r="AZ36" i="1"/>
  <c r="AZ32" i="1"/>
  <c r="AZ40" i="1"/>
  <c r="AZ34" i="1"/>
  <c r="AZ38" i="1"/>
  <c r="AZ35" i="1"/>
  <c r="AP31" i="1"/>
  <c r="AY31" i="1" s="1"/>
  <c r="AQ135" i="1"/>
  <c r="AP135" i="1" s="1"/>
  <c r="AY135" i="1" s="1"/>
  <c r="E48" i="1"/>
  <c r="AZ135" i="1" l="1"/>
  <c r="AX19" i="1"/>
  <c r="AU19" i="1"/>
  <c r="AW19" i="1" s="1"/>
  <c r="AM19" i="1"/>
  <c r="AL19" i="1"/>
  <c r="AO19" i="1" s="1"/>
  <c r="AI19" i="1"/>
  <c r="AK19" i="1"/>
  <c r="AG19" i="1"/>
  <c r="AA19" i="1"/>
  <c r="AC19" i="1"/>
  <c r="Y19" i="1"/>
  <c r="U19" i="1"/>
  <c r="S19" i="1"/>
  <c r="Q19" i="1"/>
  <c r="O19" i="1"/>
  <c r="E19" i="1" l="1"/>
  <c r="AQ19" i="1"/>
  <c r="AZ19" i="1" s="1"/>
  <c r="AP19" i="1" l="1"/>
  <c r="AY19" i="1" s="1"/>
  <c r="AM12" i="1"/>
  <c r="AR15" i="1"/>
  <c r="F222" i="1" l="1"/>
  <c r="AT222" i="1"/>
  <c r="AU219" i="1"/>
  <c r="AW219" i="1" s="1"/>
  <c r="AX219" i="1"/>
  <c r="AU220" i="1"/>
  <c r="AW220" i="1" s="1"/>
  <c r="AX220" i="1"/>
  <c r="AU221" i="1"/>
  <c r="AW221" i="1" s="1"/>
  <c r="AX221" i="1"/>
  <c r="AO219" i="1"/>
  <c r="AO220" i="1"/>
  <c r="AO221" i="1"/>
  <c r="AM219" i="1"/>
  <c r="AM220" i="1"/>
  <c r="AM221" i="1"/>
  <c r="AK219" i="1"/>
  <c r="AK220" i="1"/>
  <c r="AK221" i="1"/>
  <c r="AI219" i="1"/>
  <c r="AI220" i="1"/>
  <c r="AI221" i="1"/>
  <c r="AG219" i="1"/>
  <c r="AG220" i="1"/>
  <c r="AG221" i="1"/>
  <c r="AC219" i="1"/>
  <c r="AC220" i="1"/>
  <c r="AC221" i="1"/>
  <c r="AA219" i="1"/>
  <c r="AA220" i="1"/>
  <c r="AA221" i="1"/>
  <c r="Y219" i="1"/>
  <c r="Y220" i="1"/>
  <c r="Y221" i="1"/>
  <c r="W219" i="1"/>
  <c r="W220" i="1"/>
  <c r="W221" i="1"/>
  <c r="U219" i="1"/>
  <c r="U220" i="1"/>
  <c r="U221" i="1"/>
  <c r="S219" i="1"/>
  <c r="S220" i="1"/>
  <c r="S221" i="1"/>
  <c r="Q219" i="1"/>
  <c r="Q220" i="1"/>
  <c r="Q221" i="1"/>
  <c r="O219" i="1"/>
  <c r="O220" i="1"/>
  <c r="O221" i="1"/>
  <c r="M220" i="1"/>
  <c r="M221" i="1"/>
  <c r="K220" i="1"/>
  <c r="K221" i="1"/>
  <c r="K219" i="1"/>
  <c r="M219" i="1"/>
  <c r="E219" i="1"/>
  <c r="E220" i="1"/>
  <c r="E221" i="1"/>
  <c r="AQ221" i="1" l="1"/>
  <c r="AP221" i="1" s="1"/>
  <c r="AY221" i="1" s="1"/>
  <c r="AQ219" i="1"/>
  <c r="AP219" i="1" s="1"/>
  <c r="AY219" i="1" s="1"/>
  <c r="AQ220" i="1"/>
  <c r="AP220" i="1" s="1"/>
  <c r="AY220" i="1" s="1"/>
  <c r="AZ221" i="1" l="1"/>
  <c r="AZ220" i="1"/>
  <c r="AZ219" i="1"/>
  <c r="Z18" i="1"/>
  <c r="AC218" i="1"/>
  <c r="K12" i="1"/>
  <c r="E17" i="1" l="1"/>
  <c r="W14" i="1" l="1"/>
  <c r="W13" i="1"/>
  <c r="AU57" i="1"/>
  <c r="AW57" i="1" s="1"/>
  <c r="AX13" i="1"/>
  <c r="AX14" i="1"/>
  <c r="AX15" i="1"/>
  <c r="AX16" i="1"/>
  <c r="AX17" i="1"/>
  <c r="AX18" i="1"/>
  <c r="AX20" i="1"/>
  <c r="AX21" i="1"/>
  <c r="AX22" i="1"/>
  <c r="AX23" i="1"/>
  <c r="AX24" i="1"/>
  <c r="AX25" i="1"/>
  <c r="AX26" i="1"/>
  <c r="AX27" i="1"/>
  <c r="AX28" i="1"/>
  <c r="AX183" i="1"/>
  <c r="AX44" i="1"/>
  <c r="AX45" i="1"/>
  <c r="AX46" i="1"/>
  <c r="AX47" i="1"/>
  <c r="AX48" i="1"/>
  <c r="AX49" i="1"/>
  <c r="AX50" i="1"/>
  <c r="AX51" i="1"/>
  <c r="AX52" i="1"/>
  <c r="AX53" i="1"/>
  <c r="AX55" i="1"/>
  <c r="AX57" i="1"/>
  <c r="AX58" i="1"/>
  <c r="AX60" i="1"/>
  <c r="AX61" i="1"/>
  <c r="AX62" i="1"/>
  <c r="AX66" i="1"/>
  <c r="AX67" i="1"/>
  <c r="AX68" i="1"/>
  <c r="AX69" i="1"/>
  <c r="AX70" i="1"/>
  <c r="AX71" i="1"/>
  <c r="AX72" i="1"/>
  <c r="AX80" i="1"/>
  <c r="AX81" i="1"/>
  <c r="AX82" i="1"/>
  <c r="AX83" i="1"/>
  <c r="AX84" i="1"/>
  <c r="AX85" i="1"/>
  <c r="AX86" i="1"/>
  <c r="AX87" i="1"/>
  <c r="AX88" i="1"/>
  <c r="AX89" i="1"/>
  <c r="AX90" i="1"/>
  <c r="AX93" i="1"/>
  <c r="AX94" i="1"/>
  <c r="AX95" i="1"/>
  <c r="AX96" i="1"/>
  <c r="AX97" i="1"/>
  <c r="AX105" i="1"/>
  <c r="AX106" i="1"/>
  <c r="AX108" i="1"/>
  <c r="AX109" i="1"/>
  <c r="AX110" i="1"/>
  <c r="AX113" i="1"/>
  <c r="AX114" i="1"/>
  <c r="AX115" i="1"/>
  <c r="AX119" i="1"/>
  <c r="AX121" i="1"/>
  <c r="AX122" i="1"/>
  <c r="AX123" i="1"/>
  <c r="AX125" i="1"/>
  <c r="AX126" i="1"/>
  <c r="AX127" i="1"/>
  <c r="AX131" i="1"/>
  <c r="AX132" i="1"/>
  <c r="AX133" i="1"/>
  <c r="AX134" i="1"/>
  <c r="AX139" i="1"/>
  <c r="AX142" i="1"/>
  <c r="AX143" i="1"/>
  <c r="AX144" i="1"/>
  <c r="AX146" i="1"/>
  <c r="AX148" i="1"/>
  <c r="AX150" i="1"/>
  <c r="AX152" i="1"/>
  <c r="AX154" i="1"/>
  <c r="AX156" i="1"/>
  <c r="AX160" i="1"/>
  <c r="AX161" i="1"/>
  <c r="AX162" i="1"/>
  <c r="AX164" i="1"/>
  <c r="AX165" i="1"/>
  <c r="AX166" i="1"/>
  <c r="AX168" i="1"/>
  <c r="AX169" i="1"/>
  <c r="AX170" i="1"/>
  <c r="AX171" i="1"/>
  <c r="AX173" i="1"/>
  <c r="AX174" i="1"/>
  <c r="AX176" i="1"/>
  <c r="AX177" i="1"/>
  <c r="AX179" i="1"/>
  <c r="AX180" i="1"/>
  <c r="AX181" i="1"/>
  <c r="AX182" i="1"/>
  <c r="AX184" i="1"/>
  <c r="AX185" i="1"/>
  <c r="AX186" i="1"/>
  <c r="AX187" i="1"/>
  <c r="AX188" i="1"/>
  <c r="AX189" i="1"/>
  <c r="AX190" i="1"/>
  <c r="AX191" i="1"/>
  <c r="AX192" i="1"/>
  <c r="AX193" i="1"/>
  <c r="AX195" i="1"/>
  <c r="AX196" i="1"/>
  <c r="AX197" i="1"/>
  <c r="AX198" i="1"/>
  <c r="AX199" i="1"/>
  <c r="AX200" i="1"/>
  <c r="AX201" i="1"/>
  <c r="AX202" i="1"/>
  <c r="AX203" i="1"/>
  <c r="AX204" i="1"/>
  <c r="AX205" i="1"/>
  <c r="AX206" i="1"/>
  <c r="AX207" i="1"/>
  <c r="AX208" i="1"/>
  <c r="AX209" i="1"/>
  <c r="AX210" i="1"/>
  <c r="AX211" i="1"/>
  <c r="AX212" i="1"/>
  <c r="AX213" i="1"/>
  <c r="AX214" i="1"/>
  <c r="AX215" i="1"/>
  <c r="AX216" i="1"/>
  <c r="AX217" i="1"/>
  <c r="AX218" i="1"/>
  <c r="AU196" i="1"/>
  <c r="AW196" i="1" s="1"/>
  <c r="AU197" i="1"/>
  <c r="AW197" i="1" s="1"/>
  <c r="AU198" i="1"/>
  <c r="AW198" i="1" s="1"/>
  <c r="AU199" i="1"/>
  <c r="AW199" i="1" s="1"/>
  <c r="AU200" i="1"/>
  <c r="AW200" i="1" s="1"/>
  <c r="AU201" i="1"/>
  <c r="AW201" i="1" s="1"/>
  <c r="AU202" i="1"/>
  <c r="AW202" i="1" s="1"/>
  <c r="AU203" i="1"/>
  <c r="AW203" i="1" s="1"/>
  <c r="AU204" i="1"/>
  <c r="AW204" i="1" s="1"/>
  <c r="AU205" i="1"/>
  <c r="AW205" i="1" s="1"/>
  <c r="AU206" i="1"/>
  <c r="AW206" i="1" s="1"/>
  <c r="AU207" i="1"/>
  <c r="AW207" i="1" s="1"/>
  <c r="AU208" i="1"/>
  <c r="AW208" i="1" s="1"/>
  <c r="AU209" i="1"/>
  <c r="AW209" i="1" s="1"/>
  <c r="AU210" i="1"/>
  <c r="AW210" i="1" s="1"/>
  <c r="AU211" i="1"/>
  <c r="AW211" i="1" s="1"/>
  <c r="AU212" i="1"/>
  <c r="AW212" i="1" s="1"/>
  <c r="AU213" i="1"/>
  <c r="AW213" i="1" s="1"/>
  <c r="AU214" i="1"/>
  <c r="AW214" i="1" s="1"/>
  <c r="AU215" i="1"/>
  <c r="AW215" i="1" s="1"/>
  <c r="AU216" i="1"/>
  <c r="AW216" i="1" s="1"/>
  <c r="AU217" i="1"/>
  <c r="AW217" i="1" s="1"/>
  <c r="AU218" i="1"/>
  <c r="AW218" i="1" s="1"/>
  <c r="AU180" i="1"/>
  <c r="AW180" i="1" s="1"/>
  <c r="AU181" i="1"/>
  <c r="AW181" i="1" s="1"/>
  <c r="AU182" i="1"/>
  <c r="AW182" i="1" s="1"/>
  <c r="AU184" i="1"/>
  <c r="AW184" i="1" s="1"/>
  <c r="AU185" i="1"/>
  <c r="AW185" i="1" s="1"/>
  <c r="AU186" i="1"/>
  <c r="AW186" i="1" s="1"/>
  <c r="AU187" i="1"/>
  <c r="AW187" i="1" s="1"/>
  <c r="AU188" i="1"/>
  <c r="AW188" i="1" s="1"/>
  <c r="AU189" i="1"/>
  <c r="AW189" i="1" s="1"/>
  <c r="AU190" i="1"/>
  <c r="AW190" i="1" s="1"/>
  <c r="AU191" i="1"/>
  <c r="AW191" i="1" s="1"/>
  <c r="AU192" i="1"/>
  <c r="AW192" i="1" s="1"/>
  <c r="AU193" i="1"/>
  <c r="AW193" i="1" s="1"/>
  <c r="AU176" i="1"/>
  <c r="AW176" i="1" s="1"/>
  <c r="AU177" i="1"/>
  <c r="AW177" i="1" s="1"/>
  <c r="AU174" i="1"/>
  <c r="AW174" i="1" s="1"/>
  <c r="AU169" i="1"/>
  <c r="AW169" i="1" s="1"/>
  <c r="AU170" i="1"/>
  <c r="AW170" i="1" s="1"/>
  <c r="AU171" i="1"/>
  <c r="AW171" i="1" s="1"/>
  <c r="AU165" i="1"/>
  <c r="AW165" i="1" s="1"/>
  <c r="AU166" i="1"/>
  <c r="AW166" i="1" s="1"/>
  <c r="AU160" i="1"/>
  <c r="AW160" i="1" s="1"/>
  <c r="AU161" i="1"/>
  <c r="AW161" i="1" s="1"/>
  <c r="AU162" i="1"/>
  <c r="AW162" i="1" s="1"/>
  <c r="AU142" i="1"/>
  <c r="AW142" i="1" s="1"/>
  <c r="AU143" i="1"/>
  <c r="AW143" i="1" s="1"/>
  <c r="AU144" i="1"/>
  <c r="AW144" i="1" s="1"/>
  <c r="AU146" i="1"/>
  <c r="AW146" i="1" s="1"/>
  <c r="AU148" i="1"/>
  <c r="AW148" i="1" s="1"/>
  <c r="AU150" i="1"/>
  <c r="AW150" i="1" s="1"/>
  <c r="AU152" i="1"/>
  <c r="AW152" i="1" s="1"/>
  <c r="AU139" i="1"/>
  <c r="AW139" i="1" s="1"/>
  <c r="AU140" i="1"/>
  <c r="AU131" i="1"/>
  <c r="AW131" i="1" s="1"/>
  <c r="AU132" i="1"/>
  <c r="AW132" i="1" s="1"/>
  <c r="AU133" i="1"/>
  <c r="AW133" i="1" s="1"/>
  <c r="AU134" i="1"/>
  <c r="AW134" i="1" s="1"/>
  <c r="AU136" i="1"/>
  <c r="AU126" i="1"/>
  <c r="AW126" i="1" s="1"/>
  <c r="AU127" i="1"/>
  <c r="AW127" i="1" s="1"/>
  <c r="AU122" i="1"/>
  <c r="AW122" i="1" s="1"/>
  <c r="AU123" i="1"/>
  <c r="AW123" i="1" s="1"/>
  <c r="AU114" i="1"/>
  <c r="AW114" i="1" s="1"/>
  <c r="AU115" i="1"/>
  <c r="AW115" i="1" s="1"/>
  <c r="AU116" i="1"/>
  <c r="AU117" i="1"/>
  <c r="AU118" i="1"/>
  <c r="AU119" i="1"/>
  <c r="AW119" i="1" s="1"/>
  <c r="AU104" i="1"/>
  <c r="AU105" i="1"/>
  <c r="AW105" i="1" s="1"/>
  <c r="AU106" i="1"/>
  <c r="AW106" i="1" s="1"/>
  <c r="AU107" i="1"/>
  <c r="AU108" i="1"/>
  <c r="AW108" i="1" s="1"/>
  <c r="AU109" i="1"/>
  <c r="AW109" i="1" s="1"/>
  <c r="AU110" i="1"/>
  <c r="AW110" i="1" s="1"/>
  <c r="AU101" i="1"/>
  <c r="AU94" i="1"/>
  <c r="AW94" i="1" s="1"/>
  <c r="AU95" i="1"/>
  <c r="AW95" i="1" s="1"/>
  <c r="AU96" i="1"/>
  <c r="AW96" i="1" s="1"/>
  <c r="AU97" i="1"/>
  <c r="AW97" i="1" s="1"/>
  <c r="AU75" i="1"/>
  <c r="AU76" i="1"/>
  <c r="AU77" i="1"/>
  <c r="AU78" i="1"/>
  <c r="AU79" i="1"/>
  <c r="AU80" i="1"/>
  <c r="AW80" i="1" s="1"/>
  <c r="AU81" i="1"/>
  <c r="AW81" i="1" s="1"/>
  <c r="AU82" i="1"/>
  <c r="AW82" i="1" s="1"/>
  <c r="AU83" i="1"/>
  <c r="AW83" i="1" s="1"/>
  <c r="AU84" i="1"/>
  <c r="AW84" i="1" s="1"/>
  <c r="AU85" i="1"/>
  <c r="AW85" i="1" s="1"/>
  <c r="AU86" i="1"/>
  <c r="AW86" i="1" s="1"/>
  <c r="AU87" i="1"/>
  <c r="AW87" i="1" s="1"/>
  <c r="AU88" i="1"/>
  <c r="AW88" i="1" s="1"/>
  <c r="AU89" i="1"/>
  <c r="AW89" i="1" s="1"/>
  <c r="AU90" i="1"/>
  <c r="AW90" i="1" s="1"/>
  <c r="AU91" i="1"/>
  <c r="AU66" i="1"/>
  <c r="AW66" i="1" s="1"/>
  <c r="AU67" i="1"/>
  <c r="AW67" i="1" s="1"/>
  <c r="AU68" i="1"/>
  <c r="AW68" i="1" s="1"/>
  <c r="AU69" i="1"/>
  <c r="AW69" i="1" s="1"/>
  <c r="AU70" i="1"/>
  <c r="AW70" i="1" s="1"/>
  <c r="AU71" i="1"/>
  <c r="AW71" i="1" s="1"/>
  <c r="AU72" i="1"/>
  <c r="AW72" i="1" s="1"/>
  <c r="AU56" i="1"/>
  <c r="AU58" i="1"/>
  <c r="AW58" i="1" s="1"/>
  <c r="AU59" i="1"/>
  <c r="AU60" i="1"/>
  <c r="AW60" i="1" s="1"/>
  <c r="AU61" i="1"/>
  <c r="AW61" i="1" s="1"/>
  <c r="AU62" i="1"/>
  <c r="AW62" i="1" s="1"/>
  <c r="AU44" i="1"/>
  <c r="AW44" i="1" s="1"/>
  <c r="AU45" i="1"/>
  <c r="AW45" i="1" s="1"/>
  <c r="AU46" i="1"/>
  <c r="AW46" i="1" s="1"/>
  <c r="AU47" i="1"/>
  <c r="AW47" i="1" s="1"/>
  <c r="AU48" i="1"/>
  <c r="AW48" i="1" s="1"/>
  <c r="AU49" i="1"/>
  <c r="AW49" i="1" s="1"/>
  <c r="AU50" i="1"/>
  <c r="AW50" i="1" s="1"/>
  <c r="AU51" i="1"/>
  <c r="AW51" i="1" s="1"/>
  <c r="AU52" i="1"/>
  <c r="AW52" i="1" s="1"/>
  <c r="AU53" i="1"/>
  <c r="AW53" i="1" s="1"/>
  <c r="AU13" i="1"/>
  <c r="AW13" i="1" s="1"/>
  <c r="AU14" i="1"/>
  <c r="AW14" i="1" s="1"/>
  <c r="AU15" i="1"/>
  <c r="AW15" i="1" s="1"/>
  <c r="AU16" i="1"/>
  <c r="AW16" i="1" s="1"/>
  <c r="AU17" i="1"/>
  <c r="AW17" i="1" s="1"/>
  <c r="AU18" i="1"/>
  <c r="AW18" i="1" s="1"/>
  <c r="AU20" i="1"/>
  <c r="AW20" i="1" s="1"/>
  <c r="AU21" i="1"/>
  <c r="AW21" i="1" s="1"/>
  <c r="AU22" i="1"/>
  <c r="AW22" i="1" s="1"/>
  <c r="AU23" i="1"/>
  <c r="AW23" i="1" s="1"/>
  <c r="AU24" i="1"/>
  <c r="AW24" i="1" s="1"/>
  <c r="AU25" i="1"/>
  <c r="AW25" i="1" s="1"/>
  <c r="AU26" i="1"/>
  <c r="AW26" i="1" s="1"/>
  <c r="AU27" i="1"/>
  <c r="AW27" i="1" s="1"/>
  <c r="AU28" i="1"/>
  <c r="AW28" i="1" s="1"/>
  <c r="AU183" i="1"/>
  <c r="AW183" i="1" s="1"/>
  <c r="E15" i="1"/>
  <c r="E26" i="1"/>
  <c r="E28" i="1"/>
  <c r="E183" i="1"/>
  <c r="E45" i="1"/>
  <c r="E52" i="1"/>
  <c r="E67" i="1"/>
  <c r="E68" i="1"/>
  <c r="E69" i="1"/>
  <c r="E72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5" i="1"/>
  <c r="E108" i="1"/>
  <c r="E109" i="1"/>
  <c r="E110" i="1"/>
  <c r="E115" i="1"/>
  <c r="E116" i="1"/>
  <c r="E118" i="1"/>
  <c r="E119" i="1"/>
  <c r="E127" i="1"/>
  <c r="E131" i="1"/>
  <c r="E134" i="1"/>
  <c r="E138" i="1"/>
  <c r="E144" i="1"/>
  <c r="E146" i="1"/>
  <c r="E168" i="1"/>
  <c r="E174" i="1"/>
  <c r="E177" i="1"/>
  <c r="E181" i="1"/>
  <c r="E182" i="1"/>
  <c r="E184" i="1"/>
  <c r="E187" i="1"/>
  <c r="E195" i="1"/>
  <c r="E196" i="1"/>
  <c r="E197" i="1"/>
  <c r="E198" i="1"/>
  <c r="E199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8" i="1"/>
  <c r="Z180" i="1"/>
  <c r="AU179" i="1"/>
  <c r="AW179" i="1" s="1"/>
  <c r="AO180" i="1"/>
  <c r="AO181" i="1"/>
  <c r="AO182" i="1"/>
  <c r="AM179" i="1"/>
  <c r="AM180" i="1"/>
  <c r="AM181" i="1"/>
  <c r="AM182" i="1"/>
  <c r="AL179" i="1"/>
  <c r="AO179" i="1" s="1"/>
  <c r="AK179" i="1"/>
  <c r="AK180" i="1"/>
  <c r="AK181" i="1"/>
  <c r="AK182" i="1"/>
  <c r="AI179" i="1"/>
  <c r="AI180" i="1"/>
  <c r="AI181" i="1"/>
  <c r="AI182" i="1"/>
  <c r="AG179" i="1"/>
  <c r="AG180" i="1"/>
  <c r="AG181" i="1"/>
  <c r="AG182" i="1"/>
  <c r="AC180" i="1" l="1"/>
  <c r="AC181" i="1"/>
  <c r="AC182" i="1"/>
  <c r="AA179" i="1"/>
  <c r="AA180" i="1"/>
  <c r="AA181" i="1"/>
  <c r="AA182" i="1"/>
  <c r="Z179" i="1"/>
  <c r="AC179" i="1" s="1"/>
  <c r="Y179" i="1"/>
  <c r="Y180" i="1"/>
  <c r="Y181" i="1"/>
  <c r="Y182" i="1"/>
  <c r="W179" i="1"/>
  <c r="W180" i="1"/>
  <c r="W181" i="1"/>
  <c r="W182" i="1"/>
  <c r="U179" i="1"/>
  <c r="U180" i="1"/>
  <c r="U181" i="1"/>
  <c r="U182" i="1"/>
  <c r="S179" i="1"/>
  <c r="S180" i="1"/>
  <c r="S181" i="1"/>
  <c r="S182" i="1"/>
  <c r="Q179" i="1"/>
  <c r="Q181" i="1"/>
  <c r="Q182" i="1"/>
  <c r="O179" i="1"/>
  <c r="O180" i="1"/>
  <c r="O181" i="1"/>
  <c r="O182" i="1"/>
  <c r="Q180" i="1"/>
  <c r="M181" i="1"/>
  <c r="M182" i="1"/>
  <c r="K179" i="1"/>
  <c r="K180" i="1"/>
  <c r="K181" i="1"/>
  <c r="K182" i="1"/>
  <c r="J179" i="1"/>
  <c r="M179" i="1" s="1"/>
  <c r="E180" i="1" l="1"/>
  <c r="E179" i="1"/>
  <c r="AQ182" i="1"/>
  <c r="AZ182" i="1" s="1"/>
  <c r="M180" i="1"/>
  <c r="AQ180" i="1" s="1"/>
  <c r="AP180" i="1" s="1"/>
  <c r="AY180" i="1" s="1"/>
  <c r="AQ179" i="1"/>
  <c r="AZ179" i="1" s="1"/>
  <c r="AQ181" i="1"/>
  <c r="AZ181" i="1" s="1"/>
  <c r="AP182" i="1"/>
  <c r="AY182" i="1" s="1"/>
  <c r="N191" i="1"/>
  <c r="N190" i="1"/>
  <c r="AP181" i="1" l="1"/>
  <c r="AY181" i="1" s="1"/>
  <c r="AZ180" i="1"/>
  <c r="AP179" i="1"/>
  <c r="AY179" i="1" s="1"/>
  <c r="N185" i="1"/>
  <c r="N188" i="1"/>
  <c r="E188" i="1" s="1"/>
  <c r="AL27" i="1" l="1"/>
  <c r="E25" i="1"/>
  <c r="J14" i="1" l="1"/>
  <c r="M14" i="1" s="1"/>
  <c r="O14" i="1"/>
  <c r="Q14" i="1"/>
  <c r="S14" i="1"/>
  <c r="U14" i="1"/>
  <c r="Y14" i="1"/>
  <c r="AA14" i="1"/>
  <c r="AC14" i="1"/>
  <c r="AG14" i="1"/>
  <c r="AH14" i="1"/>
  <c r="AI14" i="1"/>
  <c r="AL14" i="1"/>
  <c r="AM14" i="1"/>
  <c r="AO14" i="1"/>
  <c r="AK14" i="1" l="1"/>
  <c r="E14" i="1"/>
  <c r="AQ14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7" i="1" s="1"/>
  <c r="A28" i="1" s="1"/>
  <c r="AM72" i="1"/>
  <c r="AO72" i="1"/>
  <c r="AI72" i="1"/>
  <c r="AK72" i="1"/>
  <c r="AG72" i="1"/>
  <c r="AA72" i="1"/>
  <c r="AC72" i="1"/>
  <c r="W72" i="1"/>
  <c r="Y72" i="1"/>
  <c r="S72" i="1"/>
  <c r="U72" i="1"/>
  <c r="O72" i="1"/>
  <c r="Q72" i="1"/>
  <c r="AZ14" i="1" l="1"/>
  <c r="AP14" i="1"/>
  <c r="AY14" i="1" s="1"/>
  <c r="A44" i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Z56" i="1"/>
  <c r="R56" i="1"/>
  <c r="N56" i="1"/>
  <c r="J56" i="1"/>
  <c r="AO57" i="1"/>
  <c r="AM57" i="1"/>
  <c r="AK57" i="1"/>
  <c r="AI57" i="1"/>
  <c r="AG57" i="1"/>
  <c r="AA57" i="1"/>
  <c r="AC57" i="1"/>
  <c r="Y57" i="1"/>
  <c r="W57" i="1"/>
  <c r="U57" i="1"/>
  <c r="S57" i="1"/>
  <c r="O57" i="1"/>
  <c r="Q57" i="1"/>
  <c r="K57" i="1"/>
  <c r="J57" i="1"/>
  <c r="M57" i="1" l="1"/>
  <c r="AQ57" i="1" s="1"/>
  <c r="AP57" i="1" s="1"/>
  <c r="AY57" i="1" s="1"/>
  <c r="E57" i="1"/>
  <c r="A56" i="1"/>
  <c r="AZ57" i="1" l="1"/>
  <c r="A58" i="1"/>
  <c r="A60" i="1"/>
  <c r="A62" i="1"/>
  <c r="A65" i="1" s="1"/>
  <c r="A66" i="1" s="1"/>
  <c r="A67" i="1" s="1"/>
  <c r="A68" i="1" s="1"/>
  <c r="A69" i="1" s="1"/>
  <c r="A70" i="1" s="1"/>
  <c r="A71" i="1" s="1"/>
  <c r="A72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3" i="1" s="1"/>
  <c r="A94" i="1" s="1"/>
  <c r="A95" i="1" s="1"/>
  <c r="A96" i="1" s="1"/>
  <c r="A97" i="1" s="1"/>
  <c r="A100" i="1" s="1"/>
  <c r="A101" i="1" s="1"/>
  <c r="A103" i="1" s="1"/>
  <c r="A104" i="1" s="1"/>
  <c r="A105" i="1" s="1"/>
  <c r="A106" i="1" s="1"/>
  <c r="A107" i="1" s="1"/>
  <c r="A108" i="1" s="1"/>
  <c r="A109" i="1" s="1"/>
  <c r="A110" i="1" s="1"/>
  <c r="A113" i="1" s="1"/>
  <c r="A114" i="1" s="1"/>
  <c r="A115" i="1" s="1"/>
  <c r="A116" i="1" s="1"/>
  <c r="A117" i="1" s="1"/>
  <c r="A118" i="1" s="1"/>
  <c r="A119" i="1" s="1"/>
  <c r="A121" i="1" s="1"/>
  <c r="A122" i="1" s="1"/>
  <c r="A123" i="1" s="1"/>
  <c r="A125" i="1" s="1"/>
  <c r="A126" i="1" s="1"/>
  <c r="A127" i="1" s="1"/>
  <c r="A131" i="1" s="1"/>
  <c r="A132" i="1" s="1"/>
  <c r="A133" i="1" s="1"/>
  <c r="A134" i="1" s="1"/>
  <c r="A135" i="1" l="1"/>
  <c r="A136" i="1" s="1"/>
  <c r="A138" i="1" s="1"/>
  <c r="A139" i="1" s="1"/>
  <c r="A140" i="1" s="1"/>
  <c r="A144" i="1" s="1"/>
  <c r="A146" i="1" s="1"/>
  <c r="A148" i="1" s="1"/>
  <c r="A150" i="1" s="1"/>
  <c r="A152" i="1" s="1"/>
  <c r="A154" i="1" s="1"/>
  <c r="A156" i="1" s="1"/>
  <c r="A157" i="1" s="1"/>
  <c r="A159" i="1" s="1"/>
  <c r="A161" i="1" s="1"/>
  <c r="A162" i="1" s="1"/>
  <c r="A165" i="1" s="1"/>
  <c r="A166" i="1" s="1"/>
  <c r="A168" i="1" s="1"/>
  <c r="A169" i="1" s="1"/>
  <c r="A170" i="1" s="1"/>
  <c r="A171" i="1" s="1"/>
  <c r="A173" i="1" s="1"/>
  <c r="A174" i="1" s="1"/>
  <c r="A177" i="1" s="1"/>
  <c r="A179" i="1" s="1"/>
  <c r="A180" i="1" s="1"/>
  <c r="A181" i="1" s="1"/>
  <c r="A182" i="1" s="1"/>
  <c r="K72" i="1"/>
  <c r="M72" i="1"/>
  <c r="E142" i="1"/>
  <c r="Z162" i="1"/>
  <c r="A183" i="1" l="1"/>
  <c r="A184" i="1" s="1"/>
  <c r="A185" i="1" s="1"/>
  <c r="A186" i="1" s="1"/>
  <c r="A187" i="1" s="1"/>
  <c r="A188" i="1" s="1"/>
  <c r="A189" i="1" s="1"/>
  <c r="A190" i="1" s="1"/>
  <c r="A191" i="1" s="1"/>
  <c r="A192" i="1" s="1"/>
  <c r="E156" i="1"/>
  <c r="E159" i="1"/>
  <c r="AQ72" i="1"/>
  <c r="AP72" i="1" s="1"/>
  <c r="AY72" i="1" s="1"/>
  <c r="AR140" i="1"/>
  <c r="AO152" i="1"/>
  <c r="AM152" i="1"/>
  <c r="AI152" i="1"/>
  <c r="AG152" i="1"/>
  <c r="AA152" i="1"/>
  <c r="AC152" i="1"/>
  <c r="Y152" i="1"/>
  <c r="W152" i="1"/>
  <c r="U152" i="1"/>
  <c r="S152" i="1"/>
  <c r="O152" i="1"/>
  <c r="Q152" i="1"/>
  <c r="K152" i="1"/>
  <c r="A193" i="1" l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Z72" i="1"/>
  <c r="M152" i="1"/>
  <c r="E152" i="1"/>
  <c r="AX140" i="1"/>
  <c r="AW140" i="1"/>
  <c r="AK152" i="1"/>
  <c r="AQ152" i="1" l="1"/>
  <c r="Z126" i="1"/>
  <c r="E126" i="1" s="1"/>
  <c r="E122" i="1"/>
  <c r="E121" i="1"/>
  <c r="Z101" i="1"/>
  <c r="N66" i="1"/>
  <c r="AZ152" i="1" l="1"/>
  <c r="AP152" i="1"/>
  <c r="AY152" i="1" s="1"/>
  <c r="J58" i="1" l="1"/>
  <c r="AH43" i="1"/>
  <c r="E50" i="1"/>
  <c r="AL49" i="1"/>
  <c r="E53" i="1" l="1"/>
  <c r="E46" i="1"/>
  <c r="E58" i="1"/>
  <c r="E139" i="1" l="1"/>
  <c r="E136" i="1"/>
  <c r="E130" i="1" l="1"/>
  <c r="AM23" i="1" l="1"/>
  <c r="AL23" i="1"/>
  <c r="AO23" i="1" s="1"/>
  <c r="AK23" i="1"/>
  <c r="AI23" i="1"/>
  <c r="AG23" i="1"/>
  <c r="AA23" i="1"/>
  <c r="AC23" i="1"/>
  <c r="Y23" i="1"/>
  <c r="W23" i="1"/>
  <c r="U23" i="1"/>
  <c r="S23" i="1"/>
  <c r="O23" i="1"/>
  <c r="N23" i="1"/>
  <c r="Q23" i="1" s="1"/>
  <c r="J23" i="1"/>
  <c r="M23" i="1" s="1"/>
  <c r="AM18" i="1"/>
  <c r="AL18" i="1"/>
  <c r="AO18" i="1" s="1"/>
  <c r="AI18" i="1"/>
  <c r="AH18" i="1"/>
  <c r="AG18" i="1"/>
  <c r="AA18" i="1"/>
  <c r="AC18" i="1"/>
  <c r="V18" i="1"/>
  <c r="U18" i="1"/>
  <c r="S18" i="1"/>
  <c r="O18" i="1"/>
  <c r="Y18" i="1" l="1"/>
  <c r="AK18" i="1"/>
  <c r="Q18" i="1"/>
  <c r="E18" i="1"/>
  <c r="AQ23" i="1"/>
  <c r="AP23" i="1" s="1"/>
  <c r="AY23" i="1" s="1"/>
  <c r="E23" i="1"/>
  <c r="AQ18" i="1" l="1"/>
  <c r="AZ18" i="1" s="1"/>
  <c r="AZ23" i="1"/>
  <c r="AR104" i="1"/>
  <c r="AR100" i="1"/>
  <c r="AX100" i="1" s="1"/>
  <c r="AL105" i="1"/>
  <c r="Z105" i="1"/>
  <c r="J105" i="1"/>
  <c r="AL104" i="1"/>
  <c r="AO104" i="1" s="1"/>
  <c r="AH104" i="1"/>
  <c r="AK104" i="1" s="1"/>
  <c r="Z104" i="1"/>
  <c r="AC104" i="1" s="1"/>
  <c r="V104" i="1"/>
  <c r="Y104" i="1" s="1"/>
  <c r="N104" i="1"/>
  <c r="K104" i="1"/>
  <c r="M104" i="1"/>
  <c r="O104" i="1"/>
  <c r="S104" i="1"/>
  <c r="U104" i="1"/>
  <c r="W104" i="1"/>
  <c r="AA104" i="1"/>
  <c r="AG104" i="1"/>
  <c r="AI104" i="1"/>
  <c r="AM104" i="1"/>
  <c r="AL103" i="1"/>
  <c r="V103" i="1"/>
  <c r="AP18" i="1" l="1"/>
  <c r="AY18" i="1" s="1"/>
  <c r="E103" i="1"/>
  <c r="Q104" i="1"/>
  <c r="AQ104" i="1" s="1"/>
  <c r="E104" i="1"/>
  <c r="AX104" i="1"/>
  <c r="AW104" i="1"/>
  <c r="E105" i="1"/>
  <c r="AZ104" i="1" l="1"/>
  <c r="AP104" i="1"/>
  <c r="AY104" i="1" s="1"/>
  <c r="Z74" i="1"/>
  <c r="Z44" i="1"/>
  <c r="AU43" i="1" l="1"/>
  <c r="AU55" i="1"/>
  <c r="AW55" i="1" s="1"/>
  <c r="AU65" i="1"/>
  <c r="AU74" i="1"/>
  <c r="AU93" i="1"/>
  <c r="AW93" i="1" s="1"/>
  <c r="AU100" i="1"/>
  <c r="AW100" i="1" s="1"/>
  <c r="AU103" i="1"/>
  <c r="AU113" i="1"/>
  <c r="AW113" i="1" s="1"/>
  <c r="AU121" i="1"/>
  <c r="AW121" i="1" s="1"/>
  <c r="AU125" i="1"/>
  <c r="AW125" i="1" s="1"/>
  <c r="AU130" i="1"/>
  <c r="AU138" i="1"/>
  <c r="AU154" i="1"/>
  <c r="AW154" i="1" s="1"/>
  <c r="AU168" i="1"/>
  <c r="AW168" i="1" s="1"/>
  <c r="AU157" i="1"/>
  <c r="AU173" i="1"/>
  <c r="AW173" i="1" s="1"/>
  <c r="AU159" i="1"/>
  <c r="AU156" i="1"/>
  <c r="AW156" i="1" s="1"/>
  <c r="AU164" i="1"/>
  <c r="AW164" i="1" s="1"/>
  <c r="AU195" i="1"/>
  <c r="AW195" i="1" s="1"/>
  <c r="S193" i="1" l="1"/>
  <c r="Y193" i="1"/>
  <c r="AM46" i="1"/>
  <c r="O46" i="1" l="1"/>
  <c r="S46" i="1"/>
  <c r="AI15" i="1" l="1"/>
  <c r="AI16" i="1"/>
  <c r="AI17" i="1"/>
  <c r="AI20" i="1"/>
  <c r="AI21" i="1"/>
  <c r="AI22" i="1"/>
  <c r="AI24" i="1"/>
  <c r="AI25" i="1"/>
  <c r="AI26" i="1"/>
  <c r="AI27" i="1"/>
  <c r="AI28" i="1"/>
  <c r="AI183" i="1"/>
  <c r="AI43" i="1"/>
  <c r="AI44" i="1"/>
  <c r="AI45" i="1"/>
  <c r="AI46" i="1"/>
  <c r="AI47" i="1"/>
  <c r="AI48" i="1"/>
  <c r="AI49" i="1"/>
  <c r="AI55" i="1"/>
  <c r="AI56" i="1"/>
  <c r="AI50" i="1"/>
  <c r="AI51" i="1"/>
  <c r="AI58" i="1"/>
  <c r="AI59" i="1"/>
  <c r="AI60" i="1"/>
  <c r="AI61" i="1"/>
  <c r="AI62" i="1"/>
  <c r="AI53" i="1"/>
  <c r="AI52" i="1"/>
  <c r="AI65" i="1"/>
  <c r="AI66" i="1"/>
  <c r="AI67" i="1"/>
  <c r="AI68" i="1"/>
  <c r="AI69" i="1"/>
  <c r="AI70" i="1"/>
  <c r="AI71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3" i="1"/>
  <c r="AI94" i="1"/>
  <c r="AI95" i="1"/>
  <c r="AI96" i="1"/>
  <c r="AI97" i="1"/>
  <c r="AI100" i="1"/>
  <c r="AI101" i="1"/>
  <c r="AI103" i="1"/>
  <c r="AI105" i="1"/>
  <c r="AI106" i="1"/>
  <c r="AI107" i="1"/>
  <c r="AI108" i="1"/>
  <c r="AI109" i="1"/>
  <c r="AI110" i="1"/>
  <c r="AI113" i="1"/>
  <c r="AI114" i="1"/>
  <c r="AI115" i="1"/>
  <c r="AI116" i="1"/>
  <c r="AI117" i="1"/>
  <c r="AI118" i="1"/>
  <c r="AI119" i="1"/>
  <c r="AI121" i="1"/>
  <c r="AI122" i="1"/>
  <c r="AI123" i="1"/>
  <c r="AI125" i="1"/>
  <c r="AI126" i="1"/>
  <c r="AI127" i="1"/>
  <c r="AI130" i="1"/>
  <c r="AI131" i="1"/>
  <c r="AI132" i="1"/>
  <c r="AI133" i="1"/>
  <c r="AI134" i="1"/>
  <c r="AI136" i="1"/>
  <c r="AI142" i="1"/>
  <c r="AI143" i="1"/>
  <c r="AI144" i="1"/>
  <c r="AI146" i="1"/>
  <c r="AI138" i="1"/>
  <c r="AI139" i="1"/>
  <c r="AI148" i="1"/>
  <c r="AI150" i="1"/>
  <c r="AI140" i="1"/>
  <c r="AI154" i="1"/>
  <c r="AI168" i="1"/>
  <c r="AI169" i="1"/>
  <c r="AI170" i="1"/>
  <c r="AI157" i="1"/>
  <c r="AI173" i="1"/>
  <c r="AI174" i="1"/>
  <c r="AI171" i="1"/>
  <c r="AI176" i="1"/>
  <c r="AI159" i="1"/>
  <c r="AI160" i="1"/>
  <c r="AI161" i="1"/>
  <c r="AI162" i="1"/>
  <c r="AI177" i="1"/>
  <c r="AI156" i="1"/>
  <c r="AI164" i="1"/>
  <c r="AI165" i="1"/>
  <c r="AI166" i="1"/>
  <c r="AI184" i="1"/>
  <c r="AI185" i="1"/>
  <c r="AI186" i="1"/>
  <c r="AI187" i="1"/>
  <c r="AI188" i="1"/>
  <c r="AI189" i="1"/>
  <c r="AI190" i="1"/>
  <c r="AI191" i="1"/>
  <c r="AI192" i="1"/>
  <c r="AI193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A15" i="1"/>
  <c r="AA16" i="1"/>
  <c r="AA17" i="1"/>
  <c r="AA20" i="1"/>
  <c r="AA21" i="1"/>
  <c r="AA22" i="1"/>
  <c r="AA24" i="1"/>
  <c r="AA25" i="1"/>
  <c r="AA26" i="1"/>
  <c r="AA27" i="1"/>
  <c r="AA28" i="1"/>
  <c r="AA183" i="1"/>
  <c r="AA43" i="1"/>
  <c r="AA44" i="1"/>
  <c r="AA45" i="1"/>
  <c r="AA46" i="1"/>
  <c r="AA47" i="1"/>
  <c r="AA48" i="1"/>
  <c r="AA49" i="1"/>
  <c r="AA55" i="1"/>
  <c r="AA56" i="1"/>
  <c r="AA50" i="1"/>
  <c r="AA51" i="1"/>
  <c r="AA58" i="1"/>
  <c r="AA59" i="1"/>
  <c r="AA60" i="1"/>
  <c r="AA61" i="1"/>
  <c r="AA62" i="1"/>
  <c r="AA53" i="1"/>
  <c r="AA52" i="1"/>
  <c r="AA65" i="1"/>
  <c r="AA66" i="1"/>
  <c r="AA67" i="1"/>
  <c r="AA68" i="1"/>
  <c r="AA69" i="1"/>
  <c r="AA70" i="1"/>
  <c r="AA71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3" i="1"/>
  <c r="AA94" i="1"/>
  <c r="AA95" i="1"/>
  <c r="AA96" i="1"/>
  <c r="AA97" i="1"/>
  <c r="AA100" i="1"/>
  <c r="AA101" i="1"/>
  <c r="AA103" i="1"/>
  <c r="AA105" i="1"/>
  <c r="AA106" i="1"/>
  <c r="AA107" i="1"/>
  <c r="AA108" i="1"/>
  <c r="AA109" i="1"/>
  <c r="AA110" i="1"/>
  <c r="AA113" i="1"/>
  <c r="AA114" i="1"/>
  <c r="AA115" i="1"/>
  <c r="AA116" i="1"/>
  <c r="AA117" i="1"/>
  <c r="AA118" i="1"/>
  <c r="AA119" i="1"/>
  <c r="AA121" i="1"/>
  <c r="AA122" i="1"/>
  <c r="AA123" i="1"/>
  <c r="AA125" i="1"/>
  <c r="AA126" i="1"/>
  <c r="AA127" i="1"/>
  <c r="AA130" i="1"/>
  <c r="AA131" i="1"/>
  <c r="AA132" i="1"/>
  <c r="AA133" i="1"/>
  <c r="AA134" i="1"/>
  <c r="AA136" i="1"/>
  <c r="AA142" i="1"/>
  <c r="AA143" i="1"/>
  <c r="AA144" i="1"/>
  <c r="AA146" i="1"/>
  <c r="AA138" i="1"/>
  <c r="AA139" i="1"/>
  <c r="AA148" i="1"/>
  <c r="AA150" i="1"/>
  <c r="AA140" i="1"/>
  <c r="AA154" i="1"/>
  <c r="AA168" i="1"/>
  <c r="AA169" i="1"/>
  <c r="AA170" i="1"/>
  <c r="AA157" i="1"/>
  <c r="AA173" i="1"/>
  <c r="AA174" i="1"/>
  <c r="AA171" i="1"/>
  <c r="AA176" i="1"/>
  <c r="AA159" i="1"/>
  <c r="AA160" i="1"/>
  <c r="AA161" i="1"/>
  <c r="AA162" i="1"/>
  <c r="AA177" i="1"/>
  <c r="AA156" i="1"/>
  <c r="AA164" i="1"/>
  <c r="AA165" i="1"/>
  <c r="AA166" i="1"/>
  <c r="AA184" i="1"/>
  <c r="AA185" i="1"/>
  <c r="AA186" i="1"/>
  <c r="AA187" i="1"/>
  <c r="AA188" i="1"/>
  <c r="AA189" i="1"/>
  <c r="AA190" i="1"/>
  <c r="AA191" i="1"/>
  <c r="AA192" i="1"/>
  <c r="AA193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W16" i="1"/>
  <c r="W20" i="1"/>
  <c r="W21" i="1"/>
  <c r="W22" i="1"/>
  <c r="W24" i="1"/>
  <c r="W26" i="1"/>
  <c r="W27" i="1"/>
  <c r="W43" i="1"/>
  <c r="W44" i="1"/>
  <c r="W45" i="1"/>
  <c r="W47" i="1"/>
  <c r="W48" i="1"/>
  <c r="W49" i="1"/>
  <c r="W56" i="1"/>
  <c r="W50" i="1"/>
  <c r="W51" i="1"/>
  <c r="W59" i="1"/>
  <c r="W60" i="1"/>
  <c r="W62" i="1"/>
  <c r="W53" i="1"/>
  <c r="W52" i="1"/>
  <c r="W65" i="1"/>
  <c r="W66" i="1"/>
  <c r="W68" i="1"/>
  <c r="W69" i="1"/>
  <c r="W70" i="1"/>
  <c r="W74" i="1"/>
  <c r="W75" i="1"/>
  <c r="W77" i="1"/>
  <c r="W78" i="1"/>
  <c r="W79" i="1"/>
  <c r="W81" i="1"/>
  <c r="W82" i="1"/>
  <c r="W83" i="1"/>
  <c r="W85" i="1"/>
  <c r="W86" i="1"/>
  <c r="W87" i="1"/>
  <c r="W89" i="1"/>
  <c r="W90" i="1"/>
  <c r="W91" i="1"/>
  <c r="W93" i="1"/>
  <c r="W94" i="1"/>
  <c r="W95" i="1"/>
  <c r="W97" i="1"/>
  <c r="W101" i="1"/>
  <c r="W105" i="1"/>
  <c r="W107" i="1"/>
  <c r="W108" i="1"/>
  <c r="W109" i="1"/>
  <c r="W113" i="1"/>
  <c r="W115" i="1"/>
  <c r="W116" i="1"/>
  <c r="W117" i="1"/>
  <c r="W119" i="1"/>
  <c r="W121" i="1"/>
  <c r="W123" i="1"/>
  <c r="W125" i="1"/>
  <c r="W127" i="1"/>
  <c r="W130" i="1"/>
  <c r="W131" i="1"/>
  <c r="W132" i="1"/>
  <c r="W134" i="1"/>
  <c r="W136" i="1"/>
  <c r="W143" i="1"/>
  <c r="W144" i="1"/>
  <c r="W138" i="1"/>
  <c r="W139" i="1"/>
  <c r="W148" i="1"/>
  <c r="W150" i="1"/>
  <c r="W140" i="1"/>
  <c r="W154" i="1"/>
  <c r="W168" i="1"/>
  <c r="W169" i="1"/>
  <c r="W170" i="1"/>
  <c r="W157" i="1"/>
  <c r="W173" i="1"/>
  <c r="W174" i="1"/>
  <c r="W176" i="1"/>
  <c r="W159" i="1"/>
  <c r="W160" i="1"/>
  <c r="W162" i="1"/>
  <c r="W177" i="1"/>
  <c r="W156" i="1"/>
  <c r="W164" i="1"/>
  <c r="W165" i="1"/>
  <c r="W166" i="1"/>
  <c r="W184" i="1"/>
  <c r="W185" i="1"/>
  <c r="W186" i="1"/>
  <c r="W188" i="1"/>
  <c r="W189" i="1"/>
  <c r="W190" i="1"/>
  <c r="W192" i="1"/>
  <c r="W193" i="1"/>
  <c r="W195" i="1"/>
  <c r="W196" i="1"/>
  <c r="W197" i="1"/>
  <c r="W199" i="1"/>
  <c r="W200" i="1"/>
  <c r="W201" i="1"/>
  <c r="W203" i="1"/>
  <c r="W204" i="1"/>
  <c r="W205" i="1"/>
  <c r="W207" i="1"/>
  <c r="W208" i="1"/>
  <c r="W209" i="1"/>
  <c r="W211" i="1"/>
  <c r="W212" i="1"/>
  <c r="W214" i="1"/>
  <c r="W215" i="1"/>
  <c r="W216" i="1"/>
  <c r="W217" i="1"/>
  <c r="W218" i="1"/>
  <c r="W15" i="1"/>
  <c r="K13" i="1" l="1"/>
  <c r="K183" i="1"/>
  <c r="K43" i="1"/>
  <c r="K44" i="1"/>
  <c r="K45" i="1"/>
  <c r="K46" i="1"/>
  <c r="K47" i="1"/>
  <c r="K48" i="1"/>
  <c r="K49" i="1"/>
  <c r="K55" i="1"/>
  <c r="K56" i="1"/>
  <c r="K50" i="1"/>
  <c r="K51" i="1"/>
  <c r="K58" i="1"/>
  <c r="K59" i="1"/>
  <c r="K60" i="1"/>
  <c r="K61" i="1"/>
  <c r="K62" i="1"/>
  <c r="K53" i="1"/>
  <c r="K52" i="1"/>
  <c r="K65" i="1"/>
  <c r="K66" i="1"/>
  <c r="K67" i="1"/>
  <c r="K68" i="1"/>
  <c r="K69" i="1"/>
  <c r="K70" i="1"/>
  <c r="K71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3" i="1"/>
  <c r="K94" i="1"/>
  <c r="K95" i="1"/>
  <c r="K96" i="1"/>
  <c r="K97" i="1"/>
  <c r="K100" i="1"/>
  <c r="K101" i="1"/>
  <c r="K103" i="1"/>
  <c r="K105" i="1"/>
  <c r="K106" i="1"/>
  <c r="K107" i="1"/>
  <c r="K108" i="1"/>
  <c r="K109" i="1"/>
  <c r="K110" i="1"/>
  <c r="K113" i="1"/>
  <c r="K114" i="1"/>
  <c r="K115" i="1"/>
  <c r="K116" i="1"/>
  <c r="K117" i="1"/>
  <c r="K118" i="1"/>
  <c r="K119" i="1"/>
  <c r="K121" i="1"/>
  <c r="K122" i="1"/>
  <c r="K123" i="1"/>
  <c r="K125" i="1"/>
  <c r="K126" i="1"/>
  <c r="K127" i="1"/>
  <c r="K130" i="1"/>
  <c r="K131" i="1"/>
  <c r="K132" i="1"/>
  <c r="K133" i="1"/>
  <c r="K134" i="1"/>
  <c r="K136" i="1"/>
  <c r="K142" i="1"/>
  <c r="K143" i="1"/>
  <c r="K144" i="1"/>
  <c r="K146" i="1"/>
  <c r="K138" i="1"/>
  <c r="K139" i="1"/>
  <c r="K148" i="1"/>
  <c r="K150" i="1"/>
  <c r="K140" i="1"/>
  <c r="K154" i="1"/>
  <c r="K168" i="1"/>
  <c r="K169" i="1"/>
  <c r="K170" i="1"/>
  <c r="K157" i="1"/>
  <c r="K173" i="1"/>
  <c r="K174" i="1"/>
  <c r="K171" i="1"/>
  <c r="K176" i="1"/>
  <c r="K159" i="1"/>
  <c r="K160" i="1"/>
  <c r="K161" i="1"/>
  <c r="K162" i="1"/>
  <c r="K177" i="1"/>
  <c r="K156" i="1"/>
  <c r="K164" i="1"/>
  <c r="K165" i="1"/>
  <c r="K166" i="1"/>
  <c r="K184" i="1"/>
  <c r="K185" i="1"/>
  <c r="K186" i="1"/>
  <c r="K187" i="1"/>
  <c r="K188" i="1"/>
  <c r="K189" i="1"/>
  <c r="K190" i="1"/>
  <c r="K191" i="1"/>
  <c r="K192" i="1"/>
  <c r="K193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N189" i="1" l="1"/>
  <c r="AR136" i="1"/>
  <c r="AR130" i="1"/>
  <c r="AR107" i="1"/>
  <c r="AR103" i="1"/>
  <c r="AR101" i="1"/>
  <c r="AL100" i="1"/>
  <c r="Z100" i="1"/>
  <c r="J100" i="1"/>
  <c r="AR91" i="1"/>
  <c r="AR78" i="1"/>
  <c r="AD74" i="1"/>
  <c r="AD222" i="1" s="1"/>
  <c r="AR77" i="1"/>
  <c r="AR76" i="1"/>
  <c r="AR75" i="1"/>
  <c r="AR74" i="1"/>
  <c r="E100" i="1" l="1"/>
  <c r="AX75" i="1"/>
  <c r="AW75" i="1"/>
  <c r="AX77" i="1"/>
  <c r="AW77" i="1"/>
  <c r="AX78" i="1"/>
  <c r="AW78" i="1"/>
  <c r="AX103" i="1"/>
  <c r="AW103" i="1"/>
  <c r="AX130" i="1"/>
  <c r="AW130" i="1"/>
  <c r="E164" i="1"/>
  <c r="AX74" i="1"/>
  <c r="AW74" i="1"/>
  <c r="AX76" i="1"/>
  <c r="AW76" i="1"/>
  <c r="AX91" i="1"/>
  <c r="AW91" i="1"/>
  <c r="AX101" i="1"/>
  <c r="AW101" i="1"/>
  <c r="AX107" i="1"/>
  <c r="AW107" i="1"/>
  <c r="E133" i="1"/>
  <c r="AX136" i="1"/>
  <c r="AW136" i="1"/>
  <c r="AK46" i="1"/>
  <c r="AC46" i="1"/>
  <c r="M46" i="1"/>
  <c r="AL43" i="1"/>
  <c r="Z43" i="1"/>
  <c r="J43" i="1"/>
  <c r="AX43" i="1" l="1"/>
  <c r="AW43" i="1"/>
  <c r="AK193" i="1"/>
  <c r="AG193" i="1"/>
  <c r="U193" i="1"/>
  <c r="AL193" i="1" l="1"/>
  <c r="Z193" i="1"/>
  <c r="AC193" i="1" s="1"/>
  <c r="Q193" i="1"/>
  <c r="M193" i="1" l="1"/>
  <c r="AQ193" i="1" s="1"/>
  <c r="AZ193" i="1" s="1"/>
  <c r="E193" i="1"/>
  <c r="Z186" i="1"/>
  <c r="V186" i="1"/>
  <c r="N186" i="1"/>
  <c r="J186" i="1"/>
  <c r="AH185" i="1"/>
  <c r="AL185" i="1"/>
  <c r="E186" i="1" l="1"/>
  <c r="E185" i="1"/>
  <c r="AP193" i="1"/>
  <c r="AY193" i="1" s="1"/>
  <c r="M12" i="1"/>
  <c r="AG46" i="1"/>
  <c r="Y46" i="1"/>
  <c r="U46" i="1"/>
  <c r="AK105" i="1" l="1"/>
  <c r="U105" i="1"/>
  <c r="AO101" i="1" l="1"/>
  <c r="AM101" i="1"/>
  <c r="AG101" i="1"/>
  <c r="U101" i="1"/>
  <c r="S101" i="1"/>
  <c r="S100" i="1"/>
  <c r="Q101" i="1"/>
  <c r="O101" i="1"/>
  <c r="AM78" i="1"/>
  <c r="AO78" i="1"/>
  <c r="AM75" i="1"/>
  <c r="AO75" i="1"/>
  <c r="AM76" i="1"/>
  <c r="AO76" i="1"/>
  <c r="AM77" i="1"/>
  <c r="AO77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G75" i="1"/>
  <c r="AG76" i="1"/>
  <c r="AG77" i="1"/>
  <c r="AG78" i="1"/>
  <c r="AC77" i="1"/>
  <c r="Y76" i="1"/>
  <c r="Y77" i="1"/>
  <c r="Y78" i="1"/>
  <c r="S75" i="1"/>
  <c r="S76" i="1"/>
  <c r="U76" i="1"/>
  <c r="S77" i="1"/>
  <c r="O75" i="1"/>
  <c r="Q75" i="1"/>
  <c r="O76" i="1"/>
  <c r="O77" i="1"/>
  <c r="O78" i="1"/>
  <c r="O79" i="1"/>
  <c r="Q79" i="1"/>
  <c r="M77" i="1"/>
  <c r="M78" i="1"/>
  <c r="AO218" i="1"/>
  <c r="AM218" i="1"/>
  <c r="AK218" i="1"/>
  <c r="AG218" i="1"/>
  <c r="Y218" i="1"/>
  <c r="U218" i="1"/>
  <c r="S218" i="1"/>
  <c r="Q218" i="1"/>
  <c r="O218" i="1"/>
  <c r="M218" i="1"/>
  <c r="AR138" i="1"/>
  <c r="Z201" i="1"/>
  <c r="E200" i="1"/>
  <c r="J190" i="1"/>
  <c r="V189" i="1"/>
  <c r="AL171" i="1"/>
  <c r="Z173" i="1"/>
  <c r="Z154" i="1"/>
  <c r="N154" i="1"/>
  <c r="J154" i="1"/>
  <c r="J148" i="1"/>
  <c r="E150" i="1" l="1"/>
  <c r="E169" i="1"/>
  <c r="E170" i="1"/>
  <c r="E173" i="1"/>
  <c r="E171" i="1"/>
  <c r="E160" i="1"/>
  <c r="E166" i="1"/>
  <c r="E189" i="1"/>
  <c r="AX138" i="1"/>
  <c r="AW138" i="1"/>
  <c r="E148" i="1"/>
  <c r="E140" i="1"/>
  <c r="E154" i="1"/>
  <c r="E157" i="1"/>
  <c r="E161" i="1"/>
  <c r="E162" i="1"/>
  <c r="E165" i="1"/>
  <c r="E190" i="1"/>
  <c r="E201" i="1"/>
  <c r="AQ218" i="1"/>
  <c r="AP218" i="1" s="1"/>
  <c r="AY218" i="1" s="1"/>
  <c r="AZ218" i="1" l="1"/>
  <c r="Z125" i="1"/>
  <c r="E125" i="1" s="1"/>
  <c r="E123" i="1"/>
  <c r="V117" i="1"/>
  <c r="E117" i="1" s="1"/>
  <c r="Z114" i="1"/>
  <c r="Z113" i="1"/>
  <c r="E113" i="1" s="1"/>
  <c r="Z107" i="1"/>
  <c r="N107" i="1"/>
  <c r="J107" i="1"/>
  <c r="Z106" i="1"/>
  <c r="N106" i="1"/>
  <c r="AO46" i="1"/>
  <c r="Q46" i="1"/>
  <c r="E106" i="1" l="1"/>
  <c r="E107" i="1"/>
  <c r="E114" i="1"/>
  <c r="AQ46" i="1"/>
  <c r="AZ46" i="1" s="1"/>
  <c r="E132" i="1"/>
  <c r="E143" i="1"/>
  <c r="AP46" i="1" l="1"/>
  <c r="AY46" i="1" s="1"/>
  <c r="AR59" i="1" l="1"/>
  <c r="AR56" i="1"/>
  <c r="AX59" i="1" l="1"/>
  <c r="AW59" i="1"/>
  <c r="AX56" i="1"/>
  <c r="AW56" i="1"/>
  <c r="V191" i="1"/>
  <c r="Z191" i="1"/>
  <c r="J191" i="1"/>
  <c r="J217" i="1"/>
  <c r="E217" i="1" s="1"/>
  <c r="AH101" i="1"/>
  <c r="AC101" i="1"/>
  <c r="Y101" i="1"/>
  <c r="M101" i="1"/>
  <c r="Z96" i="1"/>
  <c r="Z94" i="1"/>
  <c r="Z93" i="1"/>
  <c r="J93" i="1"/>
  <c r="Z78" i="1"/>
  <c r="AC78" i="1" s="1"/>
  <c r="R77" i="1"/>
  <c r="U77" i="1" s="1"/>
  <c r="Z76" i="1"/>
  <c r="AC76" i="1" s="1"/>
  <c r="Q76" i="1"/>
  <c r="J76" i="1"/>
  <c r="E97" i="1" l="1"/>
  <c r="M76" i="1"/>
  <c r="AQ76" i="1" s="1"/>
  <c r="AZ76" i="1" s="1"/>
  <c r="E76" i="1"/>
  <c r="Q77" i="1"/>
  <c r="AQ77" i="1" s="1"/>
  <c r="AZ77" i="1" s="1"/>
  <c r="E77" i="1"/>
  <c r="Q78" i="1"/>
  <c r="E78" i="1"/>
  <c r="E93" i="1"/>
  <c r="E94" i="1"/>
  <c r="E96" i="1"/>
  <c r="AK101" i="1"/>
  <c r="AQ101" i="1" s="1"/>
  <c r="AZ101" i="1" s="1"/>
  <c r="E101" i="1"/>
  <c r="E192" i="1"/>
  <c r="V75" i="1"/>
  <c r="Y75" i="1" s="1"/>
  <c r="Z75" i="1"/>
  <c r="AC75" i="1" s="1"/>
  <c r="R75" i="1"/>
  <c r="U75" i="1" s="1"/>
  <c r="J75" i="1"/>
  <c r="V74" i="1"/>
  <c r="J74" i="1"/>
  <c r="E71" i="1"/>
  <c r="Z66" i="1"/>
  <c r="J66" i="1"/>
  <c r="Z61" i="1"/>
  <c r="N60" i="1"/>
  <c r="Z60" i="1"/>
  <c r="J60" i="1"/>
  <c r="Z59" i="1"/>
  <c r="AL59" i="1"/>
  <c r="AH59" i="1"/>
  <c r="J59" i="1"/>
  <c r="R51" i="1"/>
  <c r="E51" i="1" s="1"/>
  <c r="AL56" i="1"/>
  <c r="Z47" i="1"/>
  <c r="AH44" i="1"/>
  <c r="E44" i="1" l="1"/>
  <c r="E49" i="1"/>
  <c r="E55" i="1"/>
  <c r="E60" i="1"/>
  <c r="E74" i="1"/>
  <c r="AP101" i="1"/>
  <c r="AY101" i="1" s="1"/>
  <c r="AP77" i="1"/>
  <c r="AY77" i="1" s="1"/>
  <c r="E47" i="1"/>
  <c r="E65" i="1"/>
  <c r="M75" i="1"/>
  <c r="AQ75" i="1" s="1"/>
  <c r="AZ75" i="1" s="1"/>
  <c r="E75" i="1"/>
  <c r="E56" i="1"/>
  <c r="E59" i="1"/>
  <c r="E61" i="1"/>
  <c r="E62" i="1"/>
  <c r="E66" i="1"/>
  <c r="E70" i="1"/>
  <c r="AP76" i="1"/>
  <c r="AY76" i="1" s="1"/>
  <c r="E27" i="1"/>
  <c r="AP75" i="1" l="1"/>
  <c r="AY75" i="1" s="1"/>
  <c r="J20" i="1"/>
  <c r="Z20" i="1"/>
  <c r="N222" i="1"/>
  <c r="AR159" i="1"/>
  <c r="AR157" i="1"/>
  <c r="AR118" i="1"/>
  <c r="AR117" i="1"/>
  <c r="AR116" i="1"/>
  <c r="AR79" i="1"/>
  <c r="AR65" i="1"/>
  <c r="R43" i="1"/>
  <c r="R222" i="1" s="1"/>
  <c r="V222" i="1"/>
  <c r="AH20" i="1"/>
  <c r="AH222" i="1" s="1"/>
  <c r="Z16" i="1"/>
  <c r="Z222" i="1" s="1"/>
  <c r="J222" i="1" l="1"/>
  <c r="M20" i="1"/>
  <c r="AR222" i="1"/>
  <c r="E43" i="1"/>
  <c r="AX79" i="1"/>
  <c r="AW79" i="1"/>
  <c r="AX117" i="1"/>
  <c r="AW117" i="1"/>
  <c r="AX157" i="1"/>
  <c r="AW157" i="1"/>
  <c r="AX65" i="1"/>
  <c r="AW65" i="1"/>
  <c r="AX116" i="1"/>
  <c r="AW116" i="1"/>
  <c r="AX118" i="1"/>
  <c r="AW118" i="1"/>
  <c r="AX159" i="1"/>
  <c r="AW159" i="1"/>
  <c r="AL191" i="1"/>
  <c r="E191" i="1" l="1"/>
  <c r="AL20" i="1" l="1"/>
  <c r="AL16" i="1"/>
  <c r="E13" i="1"/>
  <c r="E12" i="1"/>
  <c r="AL222" i="1" l="1"/>
  <c r="E16" i="1"/>
  <c r="E20" i="1"/>
  <c r="E22" i="1"/>
  <c r="E21" i="1"/>
  <c r="E24" i="1"/>
  <c r="E222" i="1" l="1"/>
  <c r="E226" i="1" s="1"/>
  <c r="AX12" i="1"/>
  <c r="AX222" i="1" s="1"/>
  <c r="AO13" i="1"/>
  <c r="AO15" i="1"/>
  <c r="AO16" i="1"/>
  <c r="AO17" i="1"/>
  <c r="AO20" i="1"/>
  <c r="AO21" i="1"/>
  <c r="AO22" i="1"/>
  <c r="AO24" i="1"/>
  <c r="AO25" i="1"/>
  <c r="AO26" i="1"/>
  <c r="AO27" i="1"/>
  <c r="AO28" i="1"/>
  <c r="AO183" i="1"/>
  <c r="AO43" i="1"/>
  <c r="AO44" i="1"/>
  <c r="AO45" i="1"/>
  <c r="AO47" i="1"/>
  <c r="AO48" i="1"/>
  <c r="AO49" i="1"/>
  <c r="AO55" i="1"/>
  <c r="AO56" i="1"/>
  <c r="AO50" i="1"/>
  <c r="AO51" i="1"/>
  <c r="AO58" i="1"/>
  <c r="AO59" i="1"/>
  <c r="AO60" i="1"/>
  <c r="AO61" i="1"/>
  <c r="AO62" i="1"/>
  <c r="AO53" i="1"/>
  <c r="AO52" i="1"/>
  <c r="AO65" i="1"/>
  <c r="AO66" i="1"/>
  <c r="AO67" i="1"/>
  <c r="AO68" i="1"/>
  <c r="AO69" i="1"/>
  <c r="AO70" i="1"/>
  <c r="AO71" i="1"/>
  <c r="AO74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3" i="1"/>
  <c r="AO94" i="1"/>
  <c r="AO95" i="1"/>
  <c r="AO96" i="1"/>
  <c r="AO97" i="1"/>
  <c r="AO100" i="1"/>
  <c r="AO103" i="1"/>
  <c r="AO105" i="1"/>
  <c r="AO106" i="1"/>
  <c r="AO107" i="1"/>
  <c r="AO108" i="1"/>
  <c r="AO109" i="1"/>
  <c r="AO110" i="1"/>
  <c r="AO113" i="1"/>
  <c r="AO114" i="1"/>
  <c r="AO115" i="1"/>
  <c r="AO116" i="1"/>
  <c r="AO117" i="1"/>
  <c r="AO118" i="1"/>
  <c r="AO119" i="1"/>
  <c r="AO121" i="1"/>
  <c r="AO122" i="1"/>
  <c r="AO123" i="1"/>
  <c r="AO125" i="1"/>
  <c r="AO126" i="1"/>
  <c r="AO127" i="1"/>
  <c r="AO130" i="1"/>
  <c r="AO131" i="1"/>
  <c r="AO132" i="1"/>
  <c r="AO133" i="1"/>
  <c r="AO134" i="1"/>
  <c r="AO136" i="1"/>
  <c r="AO142" i="1"/>
  <c r="AO143" i="1"/>
  <c r="AO144" i="1"/>
  <c r="AO146" i="1"/>
  <c r="AO138" i="1"/>
  <c r="AO139" i="1"/>
  <c r="AO148" i="1"/>
  <c r="AO150" i="1"/>
  <c r="AO140" i="1"/>
  <c r="AO154" i="1"/>
  <c r="AO168" i="1"/>
  <c r="AO169" i="1"/>
  <c r="AO170" i="1"/>
  <c r="AO157" i="1"/>
  <c r="AO173" i="1"/>
  <c r="AO174" i="1"/>
  <c r="AO171" i="1"/>
  <c r="AO176" i="1"/>
  <c r="AO159" i="1"/>
  <c r="AO160" i="1"/>
  <c r="AO161" i="1"/>
  <c r="AO162" i="1"/>
  <c r="AO177" i="1"/>
  <c r="AO156" i="1"/>
  <c r="AO164" i="1"/>
  <c r="AO165" i="1"/>
  <c r="AO166" i="1"/>
  <c r="AO184" i="1"/>
  <c r="AO185" i="1"/>
  <c r="AO186" i="1"/>
  <c r="AO187" i="1"/>
  <c r="AO188" i="1"/>
  <c r="AO189" i="1"/>
  <c r="AO190" i="1"/>
  <c r="AO191" i="1"/>
  <c r="AO192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12" i="1"/>
  <c r="AM13" i="1"/>
  <c r="AM15" i="1"/>
  <c r="AM16" i="1"/>
  <c r="AM17" i="1"/>
  <c r="AM20" i="1"/>
  <c r="AM21" i="1"/>
  <c r="AM22" i="1"/>
  <c r="AM24" i="1"/>
  <c r="AM25" i="1"/>
  <c r="AM26" i="1"/>
  <c r="AM27" i="1"/>
  <c r="AM28" i="1"/>
  <c r="AM183" i="1"/>
  <c r="AM43" i="1"/>
  <c r="AM44" i="1"/>
  <c r="AM45" i="1"/>
  <c r="AM47" i="1"/>
  <c r="AM48" i="1"/>
  <c r="AM49" i="1"/>
  <c r="AM55" i="1"/>
  <c r="AM56" i="1"/>
  <c r="AM50" i="1"/>
  <c r="AM51" i="1"/>
  <c r="AM58" i="1"/>
  <c r="AM59" i="1"/>
  <c r="AM60" i="1"/>
  <c r="AM61" i="1"/>
  <c r="AM62" i="1"/>
  <c r="AM53" i="1"/>
  <c r="AM52" i="1"/>
  <c r="AM65" i="1"/>
  <c r="AM66" i="1"/>
  <c r="AM67" i="1"/>
  <c r="AM68" i="1"/>
  <c r="AM69" i="1"/>
  <c r="AM70" i="1"/>
  <c r="AM71" i="1"/>
  <c r="AM74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3" i="1"/>
  <c r="AM94" i="1"/>
  <c r="AM95" i="1"/>
  <c r="AM96" i="1"/>
  <c r="AM97" i="1"/>
  <c r="AM100" i="1"/>
  <c r="AM103" i="1"/>
  <c r="AM105" i="1"/>
  <c r="AM106" i="1"/>
  <c r="AM107" i="1"/>
  <c r="AM108" i="1"/>
  <c r="AM109" i="1"/>
  <c r="AM110" i="1"/>
  <c r="AM113" i="1"/>
  <c r="AM114" i="1"/>
  <c r="AM115" i="1"/>
  <c r="AM116" i="1"/>
  <c r="AM117" i="1"/>
  <c r="AM118" i="1"/>
  <c r="AM119" i="1"/>
  <c r="AM121" i="1"/>
  <c r="AM122" i="1"/>
  <c r="AM123" i="1"/>
  <c r="AM125" i="1"/>
  <c r="AM126" i="1"/>
  <c r="AM127" i="1"/>
  <c r="AM130" i="1"/>
  <c r="AM131" i="1"/>
  <c r="AM132" i="1"/>
  <c r="AM133" i="1"/>
  <c r="AM134" i="1"/>
  <c r="AM136" i="1"/>
  <c r="AM142" i="1"/>
  <c r="AM143" i="1"/>
  <c r="AM144" i="1"/>
  <c r="AM146" i="1"/>
  <c r="AM138" i="1"/>
  <c r="AM139" i="1"/>
  <c r="AM148" i="1"/>
  <c r="AM150" i="1"/>
  <c r="AM140" i="1"/>
  <c r="AM154" i="1"/>
  <c r="AM168" i="1"/>
  <c r="AM169" i="1"/>
  <c r="AM170" i="1"/>
  <c r="AM157" i="1"/>
  <c r="AM173" i="1"/>
  <c r="AM174" i="1"/>
  <c r="AM171" i="1"/>
  <c r="AM176" i="1"/>
  <c r="AM159" i="1"/>
  <c r="AM160" i="1"/>
  <c r="AM161" i="1"/>
  <c r="AM162" i="1"/>
  <c r="AM177" i="1"/>
  <c r="AM156" i="1"/>
  <c r="AM164" i="1"/>
  <c r="AM165" i="1"/>
  <c r="AM166" i="1"/>
  <c r="AM184" i="1"/>
  <c r="AM185" i="1"/>
  <c r="AM186" i="1"/>
  <c r="AM187" i="1"/>
  <c r="AM188" i="1"/>
  <c r="AM189" i="1"/>
  <c r="AM190" i="1"/>
  <c r="AM191" i="1"/>
  <c r="AM192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K13" i="1"/>
  <c r="AK15" i="1"/>
  <c r="AK16" i="1"/>
  <c r="AK17" i="1"/>
  <c r="AK20" i="1"/>
  <c r="AK21" i="1"/>
  <c r="AK22" i="1"/>
  <c r="AK24" i="1"/>
  <c r="AK25" i="1"/>
  <c r="AK26" i="1"/>
  <c r="AK27" i="1"/>
  <c r="AK28" i="1"/>
  <c r="AK183" i="1"/>
  <c r="AK43" i="1"/>
  <c r="AK44" i="1"/>
  <c r="AK45" i="1"/>
  <c r="AK47" i="1"/>
  <c r="AK48" i="1"/>
  <c r="AK49" i="1"/>
  <c r="AK55" i="1"/>
  <c r="AK56" i="1"/>
  <c r="AK50" i="1"/>
  <c r="AK51" i="1"/>
  <c r="AK58" i="1"/>
  <c r="AK59" i="1"/>
  <c r="AK60" i="1"/>
  <c r="AK61" i="1"/>
  <c r="AK62" i="1"/>
  <c r="AK53" i="1"/>
  <c r="AK52" i="1"/>
  <c r="AK65" i="1"/>
  <c r="AK66" i="1"/>
  <c r="AK67" i="1"/>
  <c r="AK68" i="1"/>
  <c r="AK69" i="1"/>
  <c r="AK70" i="1"/>
  <c r="AK71" i="1"/>
  <c r="AK74" i="1"/>
  <c r="AK93" i="1"/>
  <c r="AK94" i="1"/>
  <c r="AK95" i="1"/>
  <c r="AK96" i="1"/>
  <c r="AK97" i="1"/>
  <c r="AK100" i="1"/>
  <c r="AK103" i="1"/>
  <c r="AK106" i="1"/>
  <c r="AK107" i="1"/>
  <c r="AK108" i="1"/>
  <c r="AK109" i="1"/>
  <c r="AK110" i="1"/>
  <c r="AK113" i="1"/>
  <c r="AK114" i="1"/>
  <c r="AK115" i="1"/>
  <c r="AK116" i="1"/>
  <c r="AK117" i="1"/>
  <c r="AK118" i="1"/>
  <c r="AK119" i="1"/>
  <c r="AK121" i="1"/>
  <c r="AK122" i="1"/>
  <c r="AK123" i="1"/>
  <c r="AK125" i="1"/>
  <c r="AK126" i="1"/>
  <c r="AK127" i="1"/>
  <c r="AK130" i="1"/>
  <c r="AK131" i="1"/>
  <c r="AK132" i="1"/>
  <c r="AK133" i="1"/>
  <c r="AK134" i="1"/>
  <c r="AK136" i="1"/>
  <c r="AK142" i="1"/>
  <c r="AK143" i="1"/>
  <c r="AK144" i="1"/>
  <c r="AK146" i="1"/>
  <c r="AK138" i="1"/>
  <c r="AK139" i="1"/>
  <c r="AK148" i="1"/>
  <c r="AK150" i="1"/>
  <c r="AK140" i="1"/>
  <c r="AK154" i="1"/>
  <c r="AK168" i="1"/>
  <c r="AK169" i="1"/>
  <c r="AK170" i="1"/>
  <c r="AK157" i="1"/>
  <c r="AK173" i="1"/>
  <c r="AK174" i="1"/>
  <c r="AK171" i="1"/>
  <c r="AK176" i="1"/>
  <c r="AK159" i="1"/>
  <c r="AK160" i="1"/>
  <c r="AK161" i="1"/>
  <c r="AK162" i="1"/>
  <c r="AK177" i="1"/>
  <c r="AK156" i="1"/>
  <c r="AK164" i="1"/>
  <c r="AK165" i="1"/>
  <c r="AK166" i="1"/>
  <c r="AK184" i="1"/>
  <c r="AK185" i="1"/>
  <c r="AK186" i="1"/>
  <c r="AK187" i="1"/>
  <c r="AK188" i="1"/>
  <c r="AK189" i="1"/>
  <c r="AK190" i="1"/>
  <c r="AK191" i="1"/>
  <c r="AK192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I13" i="1"/>
  <c r="AG13" i="1"/>
  <c r="AG15" i="1"/>
  <c r="AG16" i="1"/>
  <c r="AG17" i="1"/>
  <c r="AG20" i="1"/>
  <c r="AG21" i="1"/>
  <c r="AG22" i="1"/>
  <c r="AG24" i="1"/>
  <c r="AG25" i="1"/>
  <c r="AG26" i="1"/>
  <c r="AG27" i="1"/>
  <c r="AG28" i="1"/>
  <c r="AG183" i="1"/>
  <c r="AG43" i="1"/>
  <c r="AG44" i="1"/>
  <c r="AG45" i="1"/>
  <c r="AG47" i="1"/>
  <c r="AG48" i="1"/>
  <c r="AG49" i="1"/>
  <c r="AG55" i="1"/>
  <c r="AG56" i="1"/>
  <c r="AG50" i="1"/>
  <c r="AG51" i="1"/>
  <c r="AG58" i="1"/>
  <c r="AG59" i="1"/>
  <c r="AG60" i="1"/>
  <c r="AG61" i="1"/>
  <c r="AG62" i="1"/>
  <c r="AG53" i="1"/>
  <c r="AG52" i="1"/>
  <c r="AG65" i="1"/>
  <c r="AG66" i="1"/>
  <c r="AG67" i="1"/>
  <c r="AG68" i="1"/>
  <c r="AG69" i="1"/>
  <c r="AG70" i="1"/>
  <c r="AG71" i="1"/>
  <c r="AG74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3" i="1"/>
  <c r="AG94" i="1"/>
  <c r="AG95" i="1"/>
  <c r="AG96" i="1"/>
  <c r="AG97" i="1"/>
  <c r="AG100" i="1"/>
  <c r="AG103" i="1"/>
  <c r="AG105" i="1"/>
  <c r="AG106" i="1"/>
  <c r="AG107" i="1"/>
  <c r="AG108" i="1"/>
  <c r="AG109" i="1"/>
  <c r="AG110" i="1"/>
  <c r="AG113" i="1"/>
  <c r="AG114" i="1"/>
  <c r="AG115" i="1"/>
  <c r="AG116" i="1"/>
  <c r="AG117" i="1"/>
  <c r="AG118" i="1"/>
  <c r="AG119" i="1"/>
  <c r="AG121" i="1"/>
  <c r="AG122" i="1"/>
  <c r="AG123" i="1"/>
  <c r="AG125" i="1"/>
  <c r="AG126" i="1"/>
  <c r="AG127" i="1"/>
  <c r="AG130" i="1"/>
  <c r="AG131" i="1"/>
  <c r="AG132" i="1"/>
  <c r="AG133" i="1"/>
  <c r="AG134" i="1"/>
  <c r="AG136" i="1"/>
  <c r="AG142" i="1"/>
  <c r="AG143" i="1"/>
  <c r="AG144" i="1"/>
  <c r="AG146" i="1"/>
  <c r="AG138" i="1"/>
  <c r="AG139" i="1"/>
  <c r="AG148" i="1"/>
  <c r="AG150" i="1"/>
  <c r="AG140" i="1"/>
  <c r="AG154" i="1"/>
  <c r="AG168" i="1"/>
  <c r="AG169" i="1"/>
  <c r="AG170" i="1"/>
  <c r="AG157" i="1"/>
  <c r="AG173" i="1"/>
  <c r="AG174" i="1"/>
  <c r="AG171" i="1"/>
  <c r="AG176" i="1"/>
  <c r="AG159" i="1"/>
  <c r="AG160" i="1"/>
  <c r="AG161" i="1"/>
  <c r="AG162" i="1"/>
  <c r="AG177" i="1"/>
  <c r="AG156" i="1"/>
  <c r="AG164" i="1"/>
  <c r="AG165" i="1"/>
  <c r="AG166" i="1"/>
  <c r="AG184" i="1"/>
  <c r="AG185" i="1"/>
  <c r="AG186" i="1"/>
  <c r="AG187" i="1"/>
  <c r="AG188" i="1"/>
  <c r="AG189" i="1"/>
  <c r="AG190" i="1"/>
  <c r="AG191" i="1"/>
  <c r="AG192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C13" i="1"/>
  <c r="AC15" i="1"/>
  <c r="AC16" i="1"/>
  <c r="AC17" i="1"/>
  <c r="AC20" i="1"/>
  <c r="AC21" i="1"/>
  <c r="AC22" i="1"/>
  <c r="AC24" i="1"/>
  <c r="AC25" i="1"/>
  <c r="AC26" i="1"/>
  <c r="AC27" i="1"/>
  <c r="AC28" i="1"/>
  <c r="AC183" i="1"/>
  <c r="AC43" i="1"/>
  <c r="AC44" i="1"/>
  <c r="AC45" i="1"/>
  <c r="AC47" i="1"/>
  <c r="AC48" i="1"/>
  <c r="AC49" i="1"/>
  <c r="AC55" i="1"/>
  <c r="AC56" i="1"/>
  <c r="AC50" i="1"/>
  <c r="AC51" i="1"/>
  <c r="AC58" i="1"/>
  <c r="AC59" i="1"/>
  <c r="AC60" i="1"/>
  <c r="AC61" i="1"/>
  <c r="AC62" i="1"/>
  <c r="AC53" i="1"/>
  <c r="AC52" i="1"/>
  <c r="AC65" i="1"/>
  <c r="AC66" i="1"/>
  <c r="AC67" i="1"/>
  <c r="AC68" i="1"/>
  <c r="AC69" i="1"/>
  <c r="AC70" i="1"/>
  <c r="AC71" i="1"/>
  <c r="AC74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3" i="1"/>
  <c r="AC94" i="1"/>
  <c r="AC95" i="1"/>
  <c r="AC96" i="1"/>
  <c r="AC97" i="1"/>
  <c r="AC100" i="1"/>
  <c r="AC103" i="1"/>
  <c r="AC105" i="1"/>
  <c r="AC106" i="1"/>
  <c r="AC107" i="1"/>
  <c r="AC108" i="1"/>
  <c r="AC109" i="1"/>
  <c r="AC110" i="1"/>
  <c r="AC113" i="1"/>
  <c r="AC114" i="1"/>
  <c r="AC115" i="1"/>
  <c r="AC116" i="1"/>
  <c r="AC117" i="1"/>
  <c r="AC118" i="1"/>
  <c r="AC119" i="1"/>
  <c r="AC121" i="1"/>
  <c r="AC122" i="1"/>
  <c r="AC123" i="1"/>
  <c r="AC125" i="1"/>
  <c r="AC126" i="1"/>
  <c r="AC127" i="1"/>
  <c r="AC130" i="1"/>
  <c r="AC131" i="1"/>
  <c r="AC132" i="1"/>
  <c r="AC133" i="1"/>
  <c r="AC134" i="1"/>
  <c r="AC136" i="1"/>
  <c r="AC142" i="1"/>
  <c r="AC143" i="1"/>
  <c r="AC144" i="1"/>
  <c r="AC146" i="1"/>
  <c r="AC138" i="1"/>
  <c r="AC139" i="1"/>
  <c r="AC148" i="1"/>
  <c r="AC150" i="1"/>
  <c r="AC140" i="1"/>
  <c r="AC154" i="1"/>
  <c r="AC168" i="1"/>
  <c r="AC169" i="1"/>
  <c r="AC170" i="1"/>
  <c r="AC157" i="1"/>
  <c r="AC173" i="1"/>
  <c r="AC174" i="1"/>
  <c r="AC171" i="1"/>
  <c r="AC176" i="1"/>
  <c r="AC159" i="1"/>
  <c r="AC160" i="1"/>
  <c r="AC161" i="1"/>
  <c r="AC162" i="1"/>
  <c r="AC177" i="1"/>
  <c r="AC156" i="1"/>
  <c r="AC164" i="1"/>
  <c r="AC165" i="1"/>
  <c r="AC166" i="1"/>
  <c r="AC184" i="1"/>
  <c r="AC185" i="1"/>
  <c r="AC186" i="1"/>
  <c r="AC187" i="1"/>
  <c r="AC188" i="1"/>
  <c r="AC189" i="1"/>
  <c r="AC190" i="1"/>
  <c r="AC191" i="1"/>
  <c r="AC192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A13" i="1"/>
  <c r="Y13" i="1"/>
  <c r="Y15" i="1"/>
  <c r="Y16" i="1"/>
  <c r="Y17" i="1"/>
  <c r="Y20" i="1"/>
  <c r="Y21" i="1"/>
  <c r="Y22" i="1"/>
  <c r="Y24" i="1"/>
  <c r="Y25" i="1"/>
  <c r="Y26" i="1"/>
  <c r="Y27" i="1"/>
  <c r="Y28" i="1"/>
  <c r="Y183" i="1"/>
  <c r="Y43" i="1"/>
  <c r="Y44" i="1"/>
  <c r="Y45" i="1"/>
  <c r="Y47" i="1"/>
  <c r="Y48" i="1"/>
  <c r="Y49" i="1"/>
  <c r="Y55" i="1"/>
  <c r="Y56" i="1"/>
  <c r="Y50" i="1"/>
  <c r="Y51" i="1"/>
  <c r="Y58" i="1"/>
  <c r="Y59" i="1"/>
  <c r="Y60" i="1"/>
  <c r="Y61" i="1"/>
  <c r="Y62" i="1"/>
  <c r="Y53" i="1"/>
  <c r="Y52" i="1"/>
  <c r="Y65" i="1"/>
  <c r="Y66" i="1"/>
  <c r="Y67" i="1"/>
  <c r="Y68" i="1"/>
  <c r="Y69" i="1"/>
  <c r="Y70" i="1"/>
  <c r="Y71" i="1"/>
  <c r="Y74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3" i="1"/>
  <c r="Y94" i="1"/>
  <c r="Y95" i="1"/>
  <c r="Y96" i="1"/>
  <c r="Y97" i="1"/>
  <c r="Y100" i="1"/>
  <c r="Y103" i="1"/>
  <c r="Y105" i="1"/>
  <c r="Y106" i="1"/>
  <c r="Y107" i="1"/>
  <c r="Y108" i="1"/>
  <c r="Y109" i="1"/>
  <c r="Y110" i="1"/>
  <c r="Y113" i="1"/>
  <c r="Y114" i="1"/>
  <c r="Y115" i="1"/>
  <c r="Y116" i="1"/>
  <c r="Y117" i="1"/>
  <c r="Y118" i="1"/>
  <c r="Y119" i="1"/>
  <c r="Y121" i="1"/>
  <c r="Y122" i="1"/>
  <c r="Y123" i="1"/>
  <c r="Y125" i="1"/>
  <c r="Y126" i="1"/>
  <c r="Y127" i="1"/>
  <c r="Y130" i="1"/>
  <c r="Y131" i="1"/>
  <c r="Y132" i="1"/>
  <c r="Y133" i="1"/>
  <c r="Y134" i="1"/>
  <c r="Y136" i="1"/>
  <c r="Y142" i="1"/>
  <c r="Y143" i="1"/>
  <c r="Y144" i="1"/>
  <c r="Y146" i="1"/>
  <c r="Y138" i="1"/>
  <c r="Y139" i="1"/>
  <c r="Y148" i="1"/>
  <c r="Y150" i="1"/>
  <c r="Y140" i="1"/>
  <c r="Y154" i="1"/>
  <c r="Y168" i="1"/>
  <c r="Y169" i="1"/>
  <c r="Y170" i="1"/>
  <c r="Y157" i="1"/>
  <c r="Y173" i="1"/>
  <c r="Y174" i="1"/>
  <c r="Y171" i="1"/>
  <c r="Y176" i="1"/>
  <c r="Y159" i="1"/>
  <c r="Y160" i="1"/>
  <c r="Y161" i="1"/>
  <c r="Y162" i="1"/>
  <c r="Y177" i="1"/>
  <c r="Y156" i="1"/>
  <c r="Y164" i="1"/>
  <c r="Y165" i="1"/>
  <c r="Y166" i="1"/>
  <c r="Y184" i="1"/>
  <c r="Y185" i="1"/>
  <c r="Y186" i="1"/>
  <c r="Y187" i="1"/>
  <c r="Y188" i="1"/>
  <c r="Y189" i="1"/>
  <c r="Y190" i="1"/>
  <c r="Y191" i="1"/>
  <c r="Y192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U13" i="1"/>
  <c r="U15" i="1"/>
  <c r="U16" i="1"/>
  <c r="U17" i="1"/>
  <c r="U20" i="1"/>
  <c r="U21" i="1"/>
  <c r="U22" i="1"/>
  <c r="U24" i="1"/>
  <c r="U25" i="1"/>
  <c r="U26" i="1"/>
  <c r="U27" i="1"/>
  <c r="U28" i="1"/>
  <c r="U183" i="1"/>
  <c r="U43" i="1"/>
  <c r="U44" i="1"/>
  <c r="U45" i="1"/>
  <c r="U47" i="1"/>
  <c r="U48" i="1"/>
  <c r="U49" i="1"/>
  <c r="U55" i="1"/>
  <c r="U56" i="1"/>
  <c r="U50" i="1"/>
  <c r="U51" i="1"/>
  <c r="U58" i="1"/>
  <c r="U59" i="1"/>
  <c r="U60" i="1"/>
  <c r="U61" i="1"/>
  <c r="U62" i="1"/>
  <c r="U53" i="1"/>
  <c r="U52" i="1"/>
  <c r="U65" i="1"/>
  <c r="U66" i="1"/>
  <c r="U67" i="1"/>
  <c r="U68" i="1"/>
  <c r="U69" i="1"/>
  <c r="U70" i="1"/>
  <c r="U71" i="1"/>
  <c r="U74" i="1"/>
  <c r="U78" i="1"/>
  <c r="AQ78" i="1" s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3" i="1"/>
  <c r="U94" i="1"/>
  <c r="U95" i="1"/>
  <c r="U96" i="1"/>
  <c r="U97" i="1"/>
  <c r="U100" i="1"/>
  <c r="U103" i="1"/>
  <c r="U106" i="1"/>
  <c r="U107" i="1"/>
  <c r="U108" i="1"/>
  <c r="U109" i="1"/>
  <c r="U110" i="1"/>
  <c r="U113" i="1"/>
  <c r="U114" i="1"/>
  <c r="U115" i="1"/>
  <c r="U116" i="1"/>
  <c r="U117" i="1"/>
  <c r="U118" i="1"/>
  <c r="U119" i="1"/>
  <c r="U121" i="1"/>
  <c r="U122" i="1"/>
  <c r="U123" i="1"/>
  <c r="U125" i="1"/>
  <c r="U126" i="1"/>
  <c r="U127" i="1"/>
  <c r="U130" i="1"/>
  <c r="U131" i="1"/>
  <c r="U132" i="1"/>
  <c r="U133" i="1"/>
  <c r="U134" i="1"/>
  <c r="U136" i="1"/>
  <c r="U142" i="1"/>
  <c r="U143" i="1"/>
  <c r="U144" i="1"/>
  <c r="U146" i="1"/>
  <c r="U138" i="1"/>
  <c r="U139" i="1"/>
  <c r="U148" i="1"/>
  <c r="U150" i="1"/>
  <c r="U140" i="1"/>
  <c r="U154" i="1"/>
  <c r="U168" i="1"/>
  <c r="U169" i="1"/>
  <c r="U170" i="1"/>
  <c r="U157" i="1"/>
  <c r="U173" i="1"/>
  <c r="U174" i="1"/>
  <c r="U171" i="1"/>
  <c r="U176" i="1"/>
  <c r="U159" i="1"/>
  <c r="U160" i="1"/>
  <c r="U161" i="1"/>
  <c r="U162" i="1"/>
  <c r="U177" i="1"/>
  <c r="U156" i="1"/>
  <c r="U164" i="1"/>
  <c r="U165" i="1"/>
  <c r="U166" i="1"/>
  <c r="U184" i="1"/>
  <c r="U185" i="1"/>
  <c r="U186" i="1"/>
  <c r="U187" i="1"/>
  <c r="U188" i="1"/>
  <c r="U189" i="1"/>
  <c r="U190" i="1"/>
  <c r="U191" i="1"/>
  <c r="U192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S13" i="1"/>
  <c r="S15" i="1"/>
  <c r="S16" i="1"/>
  <c r="S17" i="1"/>
  <c r="S20" i="1"/>
  <c r="S21" i="1"/>
  <c r="S22" i="1"/>
  <c r="S24" i="1"/>
  <c r="S25" i="1"/>
  <c r="S26" i="1"/>
  <c r="S27" i="1"/>
  <c r="S28" i="1"/>
  <c r="S183" i="1"/>
  <c r="S43" i="1"/>
  <c r="S44" i="1"/>
  <c r="S45" i="1"/>
  <c r="S47" i="1"/>
  <c r="S48" i="1"/>
  <c r="S49" i="1"/>
  <c r="S55" i="1"/>
  <c r="S56" i="1"/>
  <c r="S50" i="1"/>
  <c r="S51" i="1"/>
  <c r="S58" i="1"/>
  <c r="S59" i="1"/>
  <c r="S60" i="1"/>
  <c r="S61" i="1"/>
  <c r="S62" i="1"/>
  <c r="S53" i="1"/>
  <c r="S52" i="1"/>
  <c r="S65" i="1"/>
  <c r="S66" i="1"/>
  <c r="S67" i="1"/>
  <c r="S68" i="1"/>
  <c r="S69" i="1"/>
  <c r="S70" i="1"/>
  <c r="S71" i="1"/>
  <c r="S74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3" i="1"/>
  <c r="S94" i="1"/>
  <c r="S95" i="1"/>
  <c r="S96" i="1"/>
  <c r="S97" i="1"/>
  <c r="S103" i="1"/>
  <c r="S105" i="1"/>
  <c r="S106" i="1"/>
  <c r="S107" i="1"/>
  <c r="S108" i="1"/>
  <c r="S109" i="1"/>
  <c r="S110" i="1"/>
  <c r="S113" i="1"/>
  <c r="S114" i="1"/>
  <c r="S115" i="1"/>
  <c r="S116" i="1"/>
  <c r="S117" i="1"/>
  <c r="S118" i="1"/>
  <c r="S119" i="1"/>
  <c r="S121" i="1"/>
  <c r="S122" i="1"/>
  <c r="S123" i="1"/>
  <c r="S125" i="1"/>
  <c r="S126" i="1"/>
  <c r="S127" i="1"/>
  <c r="S130" i="1"/>
  <c r="S131" i="1"/>
  <c r="S132" i="1"/>
  <c r="S133" i="1"/>
  <c r="S134" i="1"/>
  <c r="S136" i="1"/>
  <c r="S142" i="1"/>
  <c r="S143" i="1"/>
  <c r="S144" i="1"/>
  <c r="S146" i="1"/>
  <c r="S138" i="1"/>
  <c r="S139" i="1"/>
  <c r="S148" i="1"/>
  <c r="S150" i="1"/>
  <c r="S140" i="1"/>
  <c r="S154" i="1"/>
  <c r="S168" i="1"/>
  <c r="S169" i="1"/>
  <c r="S170" i="1"/>
  <c r="S157" i="1"/>
  <c r="S173" i="1"/>
  <c r="S174" i="1"/>
  <c r="S171" i="1"/>
  <c r="S176" i="1"/>
  <c r="S159" i="1"/>
  <c r="S160" i="1"/>
  <c r="S161" i="1"/>
  <c r="S162" i="1"/>
  <c r="S177" i="1"/>
  <c r="S156" i="1"/>
  <c r="S164" i="1"/>
  <c r="S165" i="1"/>
  <c r="S166" i="1"/>
  <c r="S184" i="1"/>
  <c r="S185" i="1"/>
  <c r="S186" i="1"/>
  <c r="S187" i="1"/>
  <c r="S188" i="1"/>
  <c r="S189" i="1"/>
  <c r="S190" i="1"/>
  <c r="S191" i="1"/>
  <c r="S192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Q13" i="1"/>
  <c r="Q15" i="1"/>
  <c r="Q16" i="1"/>
  <c r="Q17" i="1"/>
  <c r="Q20" i="1"/>
  <c r="Q21" i="1"/>
  <c r="Q22" i="1"/>
  <c r="Q24" i="1"/>
  <c r="Q25" i="1"/>
  <c r="Q26" i="1"/>
  <c r="Q27" i="1"/>
  <c r="Q28" i="1"/>
  <c r="Q183" i="1"/>
  <c r="Q43" i="1"/>
  <c r="Q44" i="1"/>
  <c r="Q45" i="1"/>
  <c r="Q47" i="1"/>
  <c r="Q48" i="1"/>
  <c r="Q49" i="1"/>
  <c r="Q55" i="1"/>
  <c r="Q56" i="1"/>
  <c r="Q50" i="1"/>
  <c r="Q51" i="1"/>
  <c r="Q58" i="1"/>
  <c r="Q59" i="1"/>
  <c r="Q60" i="1"/>
  <c r="Q61" i="1"/>
  <c r="Q62" i="1"/>
  <c r="Q53" i="1"/>
  <c r="Q52" i="1"/>
  <c r="Q65" i="1"/>
  <c r="Q66" i="1"/>
  <c r="Q67" i="1"/>
  <c r="Q68" i="1"/>
  <c r="Q69" i="1"/>
  <c r="Q70" i="1"/>
  <c r="Q71" i="1"/>
  <c r="Q74" i="1"/>
  <c r="Q80" i="1"/>
  <c r="Q81" i="1"/>
  <c r="Q82" i="1"/>
  <c r="Q83" i="1"/>
  <c r="Q84" i="1"/>
  <c r="Q85" i="1"/>
  <c r="Q86" i="1"/>
  <c r="Q87" i="1"/>
  <c r="Q88" i="1"/>
  <c r="Q89" i="1"/>
  <c r="Q90" i="1"/>
  <c r="Q91" i="1"/>
  <c r="Q93" i="1"/>
  <c r="Q94" i="1"/>
  <c r="Q95" i="1"/>
  <c r="Q96" i="1"/>
  <c r="Q97" i="1"/>
  <c r="Q100" i="1"/>
  <c r="Q103" i="1"/>
  <c r="Q105" i="1"/>
  <c r="Q106" i="1"/>
  <c r="Q107" i="1"/>
  <c r="Q108" i="1"/>
  <c r="Q109" i="1"/>
  <c r="Q110" i="1"/>
  <c r="Q113" i="1"/>
  <c r="Q114" i="1"/>
  <c r="Q115" i="1"/>
  <c r="Q116" i="1"/>
  <c r="Q117" i="1"/>
  <c r="Q118" i="1"/>
  <c r="Q119" i="1"/>
  <c r="Q121" i="1"/>
  <c r="Q122" i="1"/>
  <c r="Q123" i="1"/>
  <c r="Q125" i="1"/>
  <c r="Q126" i="1"/>
  <c r="Q127" i="1"/>
  <c r="Q130" i="1"/>
  <c r="Q131" i="1"/>
  <c r="Q132" i="1"/>
  <c r="Q133" i="1"/>
  <c r="Q134" i="1"/>
  <c r="Q136" i="1"/>
  <c r="Q142" i="1"/>
  <c r="Q143" i="1"/>
  <c r="Q144" i="1"/>
  <c r="Q146" i="1"/>
  <c r="Q138" i="1"/>
  <c r="Q139" i="1"/>
  <c r="Q148" i="1"/>
  <c r="Q150" i="1"/>
  <c r="Q140" i="1"/>
  <c r="Q154" i="1"/>
  <c r="Q168" i="1"/>
  <c r="Q169" i="1"/>
  <c r="Q170" i="1"/>
  <c r="Q157" i="1"/>
  <c r="Q173" i="1"/>
  <c r="Q174" i="1"/>
  <c r="Q171" i="1"/>
  <c r="Q176" i="1"/>
  <c r="Q159" i="1"/>
  <c r="Q160" i="1"/>
  <c r="Q161" i="1"/>
  <c r="Q162" i="1"/>
  <c r="Q177" i="1"/>
  <c r="Q156" i="1"/>
  <c r="Q164" i="1"/>
  <c r="Q165" i="1"/>
  <c r="Q166" i="1"/>
  <c r="Q184" i="1"/>
  <c r="Q185" i="1"/>
  <c r="Q186" i="1"/>
  <c r="Q187" i="1"/>
  <c r="Q188" i="1"/>
  <c r="Q189" i="1"/>
  <c r="Q190" i="1"/>
  <c r="Q191" i="1"/>
  <c r="Q192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O13" i="1"/>
  <c r="O15" i="1"/>
  <c r="O16" i="1"/>
  <c r="O17" i="1"/>
  <c r="O20" i="1"/>
  <c r="O21" i="1"/>
  <c r="O22" i="1"/>
  <c r="O24" i="1"/>
  <c r="O25" i="1"/>
  <c r="O26" i="1"/>
  <c r="O27" i="1"/>
  <c r="O28" i="1"/>
  <c r="O183" i="1"/>
  <c r="O43" i="1"/>
  <c r="O44" i="1"/>
  <c r="O45" i="1"/>
  <c r="O47" i="1"/>
  <c r="O48" i="1"/>
  <c r="O49" i="1"/>
  <c r="O55" i="1"/>
  <c r="O56" i="1"/>
  <c r="O50" i="1"/>
  <c r="O51" i="1"/>
  <c r="O58" i="1"/>
  <c r="O59" i="1"/>
  <c r="O60" i="1"/>
  <c r="O61" i="1"/>
  <c r="O62" i="1"/>
  <c r="O53" i="1"/>
  <c r="O52" i="1"/>
  <c r="O65" i="1"/>
  <c r="O66" i="1"/>
  <c r="O67" i="1"/>
  <c r="O68" i="1"/>
  <c r="O69" i="1"/>
  <c r="O70" i="1"/>
  <c r="O71" i="1"/>
  <c r="O74" i="1"/>
  <c r="O80" i="1"/>
  <c r="O81" i="1"/>
  <c r="O82" i="1"/>
  <c r="O83" i="1"/>
  <c r="O84" i="1"/>
  <c r="O85" i="1"/>
  <c r="O86" i="1"/>
  <c r="O87" i="1"/>
  <c r="O88" i="1"/>
  <c r="O89" i="1"/>
  <c r="O90" i="1"/>
  <c r="O91" i="1"/>
  <c r="O93" i="1"/>
  <c r="O94" i="1"/>
  <c r="O95" i="1"/>
  <c r="O96" i="1"/>
  <c r="O97" i="1"/>
  <c r="O100" i="1"/>
  <c r="O103" i="1"/>
  <c r="O105" i="1"/>
  <c r="O106" i="1"/>
  <c r="O107" i="1"/>
  <c r="O108" i="1"/>
  <c r="O109" i="1"/>
  <c r="O110" i="1"/>
  <c r="O113" i="1"/>
  <c r="O114" i="1"/>
  <c r="O115" i="1"/>
  <c r="O116" i="1"/>
  <c r="O117" i="1"/>
  <c r="O118" i="1"/>
  <c r="O119" i="1"/>
  <c r="O121" i="1"/>
  <c r="O122" i="1"/>
  <c r="O123" i="1"/>
  <c r="O125" i="1"/>
  <c r="O126" i="1"/>
  <c r="O127" i="1"/>
  <c r="O130" i="1"/>
  <c r="O131" i="1"/>
  <c r="O132" i="1"/>
  <c r="O133" i="1"/>
  <c r="O134" i="1"/>
  <c r="O136" i="1"/>
  <c r="O142" i="1"/>
  <c r="O143" i="1"/>
  <c r="O144" i="1"/>
  <c r="O146" i="1"/>
  <c r="O138" i="1"/>
  <c r="O139" i="1"/>
  <c r="O148" i="1"/>
  <c r="O150" i="1"/>
  <c r="O140" i="1"/>
  <c r="O154" i="1"/>
  <c r="O168" i="1"/>
  <c r="O169" i="1"/>
  <c r="O170" i="1"/>
  <c r="O157" i="1"/>
  <c r="O173" i="1"/>
  <c r="O174" i="1"/>
  <c r="O171" i="1"/>
  <c r="O176" i="1"/>
  <c r="O159" i="1"/>
  <c r="O160" i="1"/>
  <c r="O161" i="1"/>
  <c r="O162" i="1"/>
  <c r="O177" i="1"/>
  <c r="O156" i="1"/>
  <c r="O164" i="1"/>
  <c r="O165" i="1"/>
  <c r="O166" i="1"/>
  <c r="O184" i="1"/>
  <c r="O185" i="1"/>
  <c r="O186" i="1"/>
  <c r="O187" i="1"/>
  <c r="O188" i="1"/>
  <c r="O189" i="1"/>
  <c r="O190" i="1"/>
  <c r="O191" i="1"/>
  <c r="O192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M13" i="1"/>
  <c r="M183" i="1"/>
  <c r="M43" i="1"/>
  <c r="M44" i="1"/>
  <c r="M45" i="1"/>
  <c r="M47" i="1"/>
  <c r="M48" i="1"/>
  <c r="M49" i="1"/>
  <c r="M55" i="1"/>
  <c r="M56" i="1"/>
  <c r="M50" i="1"/>
  <c r="M51" i="1"/>
  <c r="M58" i="1"/>
  <c r="M59" i="1"/>
  <c r="M60" i="1"/>
  <c r="M61" i="1"/>
  <c r="M62" i="1"/>
  <c r="M53" i="1"/>
  <c r="M52" i="1"/>
  <c r="M65" i="1"/>
  <c r="M66" i="1"/>
  <c r="M67" i="1"/>
  <c r="M68" i="1"/>
  <c r="M69" i="1"/>
  <c r="M70" i="1"/>
  <c r="M71" i="1"/>
  <c r="M74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3" i="1"/>
  <c r="M94" i="1"/>
  <c r="M95" i="1"/>
  <c r="M96" i="1"/>
  <c r="M97" i="1"/>
  <c r="M100" i="1"/>
  <c r="M103" i="1"/>
  <c r="M105" i="1"/>
  <c r="M106" i="1"/>
  <c r="M107" i="1"/>
  <c r="M108" i="1"/>
  <c r="M109" i="1"/>
  <c r="M110" i="1"/>
  <c r="M113" i="1"/>
  <c r="M114" i="1"/>
  <c r="M115" i="1"/>
  <c r="M116" i="1"/>
  <c r="M117" i="1"/>
  <c r="M118" i="1"/>
  <c r="M119" i="1"/>
  <c r="M121" i="1"/>
  <c r="M122" i="1"/>
  <c r="M123" i="1"/>
  <c r="M125" i="1"/>
  <c r="M126" i="1"/>
  <c r="M127" i="1"/>
  <c r="M130" i="1"/>
  <c r="M131" i="1"/>
  <c r="M132" i="1"/>
  <c r="M133" i="1"/>
  <c r="M134" i="1"/>
  <c r="M136" i="1"/>
  <c r="M142" i="1"/>
  <c r="M143" i="1"/>
  <c r="M144" i="1"/>
  <c r="M146" i="1"/>
  <c r="M138" i="1"/>
  <c r="M139" i="1"/>
  <c r="M148" i="1"/>
  <c r="M150" i="1"/>
  <c r="M140" i="1"/>
  <c r="M154" i="1"/>
  <c r="M168" i="1"/>
  <c r="M169" i="1"/>
  <c r="M170" i="1"/>
  <c r="M157" i="1"/>
  <c r="M173" i="1"/>
  <c r="M174" i="1"/>
  <c r="M171" i="1"/>
  <c r="M176" i="1"/>
  <c r="M159" i="1"/>
  <c r="M160" i="1"/>
  <c r="M161" i="1"/>
  <c r="M162" i="1"/>
  <c r="M177" i="1"/>
  <c r="M156" i="1"/>
  <c r="M164" i="1"/>
  <c r="M165" i="1"/>
  <c r="M166" i="1"/>
  <c r="M184" i="1"/>
  <c r="M185" i="1"/>
  <c r="M186" i="1"/>
  <c r="M187" i="1"/>
  <c r="M188" i="1"/>
  <c r="M189" i="1"/>
  <c r="M190" i="1"/>
  <c r="M191" i="1"/>
  <c r="M192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22" i="1" l="1"/>
  <c r="AO222" i="1"/>
  <c r="AQ53" i="1"/>
  <c r="AZ53" i="1" s="1"/>
  <c r="AQ56" i="1"/>
  <c r="AZ56" i="1" s="1"/>
  <c r="AQ216" i="1"/>
  <c r="AP216" i="1" s="1"/>
  <c r="AY216" i="1" s="1"/>
  <c r="AQ71" i="1"/>
  <c r="AZ71" i="1" s="1"/>
  <c r="AQ69" i="1"/>
  <c r="AP69" i="1" s="1"/>
  <c r="AY69" i="1" s="1"/>
  <c r="AQ67" i="1"/>
  <c r="AZ67" i="1" s="1"/>
  <c r="AQ65" i="1"/>
  <c r="AP65" i="1" s="1"/>
  <c r="AY65" i="1" s="1"/>
  <c r="AQ61" i="1"/>
  <c r="AP61" i="1" s="1"/>
  <c r="AY61" i="1" s="1"/>
  <c r="AQ59" i="1"/>
  <c r="AP59" i="1" s="1"/>
  <c r="AY59" i="1" s="1"/>
  <c r="AQ51" i="1"/>
  <c r="AP51" i="1" s="1"/>
  <c r="AY51" i="1" s="1"/>
  <c r="AQ49" i="1"/>
  <c r="AP49" i="1" s="1"/>
  <c r="AY49" i="1" s="1"/>
  <c r="AQ47" i="1"/>
  <c r="AZ47" i="1" s="1"/>
  <c r="AQ44" i="1"/>
  <c r="AP44" i="1" s="1"/>
  <c r="AY44" i="1" s="1"/>
  <c r="AQ27" i="1"/>
  <c r="AP27" i="1" s="1"/>
  <c r="AY27" i="1" s="1"/>
  <c r="AQ24" i="1"/>
  <c r="AP24" i="1" s="1"/>
  <c r="AY24" i="1" s="1"/>
  <c r="AQ21" i="1"/>
  <c r="AP21" i="1" s="1"/>
  <c r="AY21" i="1" s="1"/>
  <c r="AQ15" i="1"/>
  <c r="AP15" i="1" s="1"/>
  <c r="AY15" i="1" s="1"/>
  <c r="AQ17" i="1"/>
  <c r="AP17" i="1" s="1"/>
  <c r="AY17" i="1" s="1"/>
  <c r="AQ214" i="1"/>
  <c r="AZ214" i="1" s="1"/>
  <c r="AQ212" i="1"/>
  <c r="AZ212" i="1" s="1"/>
  <c r="AQ210" i="1"/>
  <c r="AZ210" i="1" s="1"/>
  <c r="AQ208" i="1"/>
  <c r="AZ208" i="1" s="1"/>
  <c r="AQ206" i="1"/>
  <c r="AZ206" i="1" s="1"/>
  <c r="AQ204" i="1"/>
  <c r="AZ204" i="1" s="1"/>
  <c r="AQ202" i="1"/>
  <c r="AZ202" i="1" s="1"/>
  <c r="AQ200" i="1"/>
  <c r="AZ200" i="1" s="1"/>
  <c r="AQ198" i="1"/>
  <c r="AZ198" i="1" s="1"/>
  <c r="AQ196" i="1"/>
  <c r="AZ196" i="1" s="1"/>
  <c r="AQ192" i="1"/>
  <c r="AP192" i="1" s="1"/>
  <c r="AY192" i="1" s="1"/>
  <c r="AQ190" i="1"/>
  <c r="AZ190" i="1" s="1"/>
  <c r="AQ188" i="1"/>
  <c r="AP188" i="1" s="1"/>
  <c r="AY188" i="1" s="1"/>
  <c r="AQ186" i="1"/>
  <c r="AZ186" i="1" s="1"/>
  <c r="AQ184" i="1"/>
  <c r="AP184" i="1" s="1"/>
  <c r="AY184" i="1" s="1"/>
  <c r="AQ166" i="1"/>
  <c r="AP166" i="1" s="1"/>
  <c r="AY166" i="1" s="1"/>
  <c r="AQ164" i="1"/>
  <c r="AZ164" i="1" s="1"/>
  <c r="AQ177" i="1"/>
  <c r="AZ177" i="1" s="1"/>
  <c r="AQ162" i="1"/>
  <c r="AZ162" i="1" s="1"/>
  <c r="AQ160" i="1"/>
  <c r="AZ160" i="1" s="1"/>
  <c r="AQ159" i="1"/>
  <c r="AZ159" i="1" s="1"/>
  <c r="AQ173" i="1"/>
  <c r="AZ173" i="1" s="1"/>
  <c r="AQ170" i="1"/>
  <c r="AP170" i="1" s="1"/>
  <c r="AY170" i="1" s="1"/>
  <c r="AQ168" i="1"/>
  <c r="AZ168" i="1" s="1"/>
  <c r="AQ140" i="1"/>
  <c r="AZ140" i="1" s="1"/>
  <c r="AQ148" i="1"/>
  <c r="AZ148" i="1" s="1"/>
  <c r="AQ138" i="1"/>
  <c r="AP138" i="1" s="1"/>
  <c r="AY138" i="1" s="1"/>
  <c r="AQ144" i="1"/>
  <c r="AP144" i="1" s="1"/>
  <c r="AY144" i="1" s="1"/>
  <c r="AQ136" i="1"/>
  <c r="AZ136" i="1" s="1"/>
  <c r="AQ133" i="1"/>
  <c r="AP133" i="1" s="1"/>
  <c r="AY133" i="1" s="1"/>
  <c r="AQ131" i="1"/>
  <c r="AZ131" i="1" s="1"/>
  <c r="AQ127" i="1"/>
  <c r="AZ127" i="1" s="1"/>
  <c r="AQ125" i="1"/>
  <c r="AZ125" i="1" s="1"/>
  <c r="AQ122" i="1"/>
  <c r="AP122" i="1" s="1"/>
  <c r="AY122" i="1" s="1"/>
  <c r="AQ119" i="1"/>
  <c r="AZ119" i="1" s="1"/>
  <c r="AQ117" i="1"/>
  <c r="AZ117" i="1" s="1"/>
  <c r="AQ115" i="1"/>
  <c r="AZ115" i="1" s="1"/>
  <c r="AQ113" i="1"/>
  <c r="AZ113" i="1" s="1"/>
  <c r="AQ109" i="1"/>
  <c r="AZ109" i="1" s="1"/>
  <c r="AQ107" i="1"/>
  <c r="AZ107" i="1" s="1"/>
  <c r="AQ105" i="1"/>
  <c r="AZ105" i="1" s="1"/>
  <c r="AQ100" i="1"/>
  <c r="AZ100" i="1" s="1"/>
  <c r="AQ96" i="1"/>
  <c r="AZ96" i="1" s="1"/>
  <c r="AQ94" i="1"/>
  <c r="AZ94" i="1" s="1"/>
  <c r="AQ91" i="1"/>
  <c r="AZ91" i="1" s="1"/>
  <c r="AQ89" i="1"/>
  <c r="AP89" i="1" s="1"/>
  <c r="AY89" i="1" s="1"/>
  <c r="AQ87" i="1"/>
  <c r="AZ87" i="1" s="1"/>
  <c r="AQ85" i="1"/>
  <c r="AP85" i="1" s="1"/>
  <c r="AY85" i="1" s="1"/>
  <c r="AQ83" i="1"/>
  <c r="AZ83" i="1" s="1"/>
  <c r="AQ81" i="1"/>
  <c r="AP81" i="1" s="1"/>
  <c r="AY81" i="1" s="1"/>
  <c r="AQ79" i="1"/>
  <c r="AZ79" i="1" s="1"/>
  <c r="AP78" i="1"/>
  <c r="AY78" i="1" s="1"/>
  <c r="AZ78" i="1"/>
  <c r="AQ217" i="1"/>
  <c r="AP217" i="1" s="1"/>
  <c r="AY217" i="1" s="1"/>
  <c r="AQ215" i="1"/>
  <c r="AP215" i="1" s="1"/>
  <c r="AY215" i="1" s="1"/>
  <c r="AQ213" i="1"/>
  <c r="AP213" i="1" s="1"/>
  <c r="AY213" i="1" s="1"/>
  <c r="AQ211" i="1"/>
  <c r="AP211" i="1" s="1"/>
  <c r="AY211" i="1" s="1"/>
  <c r="AQ209" i="1"/>
  <c r="AP209" i="1" s="1"/>
  <c r="AY209" i="1" s="1"/>
  <c r="AQ207" i="1"/>
  <c r="AP207" i="1" s="1"/>
  <c r="AY207" i="1" s="1"/>
  <c r="AQ205" i="1"/>
  <c r="AP205" i="1" s="1"/>
  <c r="AY205" i="1" s="1"/>
  <c r="AQ203" i="1"/>
  <c r="AP203" i="1" s="1"/>
  <c r="AY203" i="1" s="1"/>
  <c r="AQ201" i="1"/>
  <c r="AP201" i="1" s="1"/>
  <c r="AY201" i="1" s="1"/>
  <c r="AQ199" i="1"/>
  <c r="AP199" i="1" s="1"/>
  <c r="AY199" i="1" s="1"/>
  <c r="AQ197" i="1"/>
  <c r="AP197" i="1" s="1"/>
  <c r="AY197" i="1" s="1"/>
  <c r="AQ195" i="1"/>
  <c r="AP195" i="1" s="1"/>
  <c r="AY195" i="1" s="1"/>
  <c r="AQ191" i="1"/>
  <c r="AP191" i="1" s="1"/>
  <c r="AY191" i="1" s="1"/>
  <c r="AQ189" i="1"/>
  <c r="AZ189" i="1" s="1"/>
  <c r="AQ187" i="1"/>
  <c r="AP187" i="1" s="1"/>
  <c r="AY187" i="1" s="1"/>
  <c r="AQ185" i="1"/>
  <c r="AZ185" i="1" s="1"/>
  <c r="AQ165" i="1"/>
  <c r="AZ165" i="1" s="1"/>
  <c r="AQ156" i="1"/>
  <c r="AP156" i="1" s="1"/>
  <c r="AY156" i="1" s="1"/>
  <c r="AQ161" i="1"/>
  <c r="AZ161" i="1" s="1"/>
  <c r="AQ176" i="1"/>
  <c r="AP176" i="1" s="1"/>
  <c r="AY176" i="1" s="1"/>
  <c r="AQ171" i="1"/>
  <c r="AZ171" i="1" s="1"/>
  <c r="AQ174" i="1"/>
  <c r="AP174" i="1" s="1"/>
  <c r="AY174" i="1" s="1"/>
  <c r="AQ157" i="1"/>
  <c r="AZ157" i="1" s="1"/>
  <c r="AQ169" i="1"/>
  <c r="AZ169" i="1" s="1"/>
  <c r="AQ154" i="1"/>
  <c r="AZ154" i="1" s="1"/>
  <c r="AQ150" i="1"/>
  <c r="AZ150" i="1" s="1"/>
  <c r="AQ139" i="1"/>
  <c r="AZ139" i="1" s="1"/>
  <c r="AQ146" i="1"/>
  <c r="AZ146" i="1" s="1"/>
  <c r="AQ143" i="1"/>
  <c r="AZ143" i="1" s="1"/>
  <c r="AQ142" i="1"/>
  <c r="AZ142" i="1" s="1"/>
  <c r="AQ134" i="1"/>
  <c r="AZ134" i="1" s="1"/>
  <c r="AQ132" i="1"/>
  <c r="AZ132" i="1" s="1"/>
  <c r="AQ130" i="1"/>
  <c r="AZ130" i="1" s="1"/>
  <c r="AQ126" i="1"/>
  <c r="AP126" i="1" s="1"/>
  <c r="AY126" i="1" s="1"/>
  <c r="AQ123" i="1"/>
  <c r="AZ123" i="1" s="1"/>
  <c r="AQ121" i="1"/>
  <c r="AZ121" i="1" s="1"/>
  <c r="AQ118" i="1"/>
  <c r="AP118" i="1" s="1"/>
  <c r="AY118" i="1" s="1"/>
  <c r="AQ116" i="1"/>
  <c r="AZ116" i="1" s="1"/>
  <c r="AQ114" i="1"/>
  <c r="AP114" i="1" s="1"/>
  <c r="AY114" i="1" s="1"/>
  <c r="AQ110" i="1"/>
  <c r="AP110" i="1" s="1"/>
  <c r="AY110" i="1" s="1"/>
  <c r="AQ108" i="1"/>
  <c r="AZ108" i="1" s="1"/>
  <c r="AQ106" i="1"/>
  <c r="AP106" i="1" s="1"/>
  <c r="AY106" i="1" s="1"/>
  <c r="AQ103" i="1"/>
  <c r="AZ103" i="1" s="1"/>
  <c r="AQ97" i="1"/>
  <c r="AP97" i="1" s="1"/>
  <c r="AY97" i="1" s="1"/>
  <c r="AQ95" i="1"/>
  <c r="AZ95" i="1" s="1"/>
  <c r="AQ93" i="1"/>
  <c r="AP93" i="1" s="1"/>
  <c r="AY93" i="1" s="1"/>
  <c r="AQ90" i="1"/>
  <c r="AZ90" i="1" s="1"/>
  <c r="AQ88" i="1"/>
  <c r="AZ88" i="1" s="1"/>
  <c r="AQ86" i="1"/>
  <c r="AZ86" i="1" s="1"/>
  <c r="AQ84" i="1"/>
  <c r="AZ84" i="1" s="1"/>
  <c r="AQ82" i="1"/>
  <c r="AZ82" i="1" s="1"/>
  <c r="AQ80" i="1"/>
  <c r="AZ80" i="1" s="1"/>
  <c r="AQ74" i="1"/>
  <c r="AZ74" i="1" s="1"/>
  <c r="AQ70" i="1"/>
  <c r="AP70" i="1" s="1"/>
  <c r="AY70" i="1" s="1"/>
  <c r="AQ68" i="1"/>
  <c r="AZ68" i="1" s="1"/>
  <c r="AQ66" i="1"/>
  <c r="AP66" i="1" s="1"/>
  <c r="AY66" i="1" s="1"/>
  <c r="AQ52" i="1"/>
  <c r="AZ52" i="1" s="1"/>
  <c r="AQ62" i="1"/>
  <c r="AP62" i="1" s="1"/>
  <c r="AY62" i="1" s="1"/>
  <c r="AQ60" i="1"/>
  <c r="AZ60" i="1" s="1"/>
  <c r="AQ58" i="1"/>
  <c r="AP58" i="1" s="1"/>
  <c r="AY58" i="1" s="1"/>
  <c r="AQ50" i="1"/>
  <c r="AP50" i="1" s="1"/>
  <c r="AY50" i="1" s="1"/>
  <c r="AQ55" i="1"/>
  <c r="AZ55" i="1" s="1"/>
  <c r="AQ48" i="1"/>
  <c r="AZ48" i="1" s="1"/>
  <c r="AQ45" i="1"/>
  <c r="AZ45" i="1" s="1"/>
  <c r="AQ43" i="1"/>
  <c r="AZ43" i="1" s="1"/>
  <c r="AQ183" i="1"/>
  <c r="AZ183" i="1" s="1"/>
  <c r="AQ28" i="1"/>
  <c r="AZ28" i="1" s="1"/>
  <c r="AQ26" i="1"/>
  <c r="AZ26" i="1" s="1"/>
  <c r="AQ25" i="1"/>
  <c r="AZ25" i="1" s="1"/>
  <c r="AQ22" i="1"/>
  <c r="AZ22" i="1" s="1"/>
  <c r="AQ20" i="1"/>
  <c r="AP20" i="1" s="1"/>
  <c r="AY20" i="1" s="1"/>
  <c r="AQ16" i="1"/>
  <c r="AZ16" i="1" s="1"/>
  <c r="AQ13" i="1"/>
  <c r="AP127" i="1" l="1"/>
  <c r="AY127" i="1" s="1"/>
  <c r="AP165" i="1"/>
  <c r="AY165" i="1" s="1"/>
  <c r="AP208" i="1"/>
  <c r="AY208" i="1" s="1"/>
  <c r="AP140" i="1"/>
  <c r="AY140" i="1" s="1"/>
  <c r="AP67" i="1"/>
  <c r="AY67" i="1" s="1"/>
  <c r="AP206" i="1"/>
  <c r="AY206" i="1" s="1"/>
  <c r="AP160" i="1"/>
  <c r="AY160" i="1" s="1"/>
  <c r="AZ97" i="1"/>
  <c r="AP84" i="1"/>
  <c r="AY84" i="1" s="1"/>
  <c r="AP100" i="1"/>
  <c r="AY100" i="1" s="1"/>
  <c r="AP146" i="1"/>
  <c r="AY146" i="1" s="1"/>
  <c r="AZ122" i="1"/>
  <c r="AP83" i="1"/>
  <c r="AY83" i="1" s="1"/>
  <c r="AZ70" i="1"/>
  <c r="AP189" i="1"/>
  <c r="AY189" i="1" s="1"/>
  <c r="AZ174" i="1"/>
  <c r="AP131" i="1"/>
  <c r="AY131" i="1" s="1"/>
  <c r="AZ126" i="1"/>
  <c r="AP113" i="1"/>
  <c r="AY113" i="1" s="1"/>
  <c r="AZ110" i="1"/>
  <c r="AP105" i="1"/>
  <c r="AY105" i="1" s="1"/>
  <c r="AZ59" i="1"/>
  <c r="AP53" i="1"/>
  <c r="AY53" i="1" s="1"/>
  <c r="AP183" i="1"/>
  <c r="AY183" i="1" s="1"/>
  <c r="AP80" i="1"/>
  <c r="AY80" i="1" s="1"/>
  <c r="AP88" i="1"/>
  <c r="AY88" i="1" s="1"/>
  <c r="AZ106" i="1"/>
  <c r="AP121" i="1"/>
  <c r="AY121" i="1" s="1"/>
  <c r="AP150" i="1"/>
  <c r="AY150" i="1" s="1"/>
  <c r="AZ49" i="1"/>
  <c r="AP91" i="1"/>
  <c r="AY91" i="1" s="1"/>
  <c r="AZ144" i="1"/>
  <c r="AP190" i="1"/>
  <c r="AY190" i="1" s="1"/>
  <c r="AZ207" i="1"/>
  <c r="AZ201" i="1"/>
  <c r="AZ170" i="1"/>
  <c r="AZ118" i="1"/>
  <c r="AZ93" i="1"/>
  <c r="AP22" i="1"/>
  <c r="AY22" i="1" s="1"/>
  <c r="AP26" i="1"/>
  <c r="AY26" i="1" s="1"/>
  <c r="AP142" i="1"/>
  <c r="AY142" i="1" s="1"/>
  <c r="AP130" i="1"/>
  <c r="AY130" i="1" s="1"/>
  <c r="AZ66" i="1"/>
  <c r="AZ69" i="1"/>
  <c r="AZ61" i="1"/>
  <c r="AZ217" i="1"/>
  <c r="AZ192" i="1"/>
  <c r="AP168" i="1"/>
  <c r="AY168" i="1" s="1"/>
  <c r="AP159" i="1"/>
  <c r="AY159" i="1" s="1"/>
  <c r="AZ133" i="1"/>
  <c r="AP55" i="1"/>
  <c r="AY55" i="1" s="1"/>
  <c r="AZ184" i="1"/>
  <c r="AZ191" i="1"/>
  <c r="AZ176" i="1"/>
  <c r="AP164" i="1"/>
  <c r="AY164" i="1" s="1"/>
  <c r="AP161" i="1"/>
  <c r="AY161" i="1" s="1"/>
  <c r="AZ156" i="1"/>
  <c r="AP154" i="1"/>
  <c r="AY154" i="1" s="1"/>
  <c r="AZ138" i="1"/>
  <c r="AP132" i="1"/>
  <c r="AY132" i="1" s="1"/>
  <c r="AP116" i="1"/>
  <c r="AY116" i="1" s="1"/>
  <c r="AZ81" i="1"/>
  <c r="AZ62" i="1"/>
  <c r="AP198" i="1"/>
  <c r="AY198" i="1" s="1"/>
  <c r="AP214" i="1"/>
  <c r="AY214" i="1" s="1"/>
  <c r="AZ209" i="1"/>
  <c r="AP169" i="1"/>
  <c r="AY169" i="1" s="1"/>
  <c r="AP125" i="1"/>
  <c r="AY125" i="1" s="1"/>
  <c r="AP117" i="1"/>
  <c r="AY117" i="1" s="1"/>
  <c r="AP107" i="1"/>
  <c r="AY107" i="1" s="1"/>
  <c r="AZ89" i="1"/>
  <c r="AP74" i="1"/>
  <c r="AY74" i="1" s="1"/>
  <c r="AZ58" i="1"/>
  <c r="AZ27" i="1"/>
  <c r="AZ15" i="1"/>
  <c r="AP202" i="1"/>
  <c r="AY202" i="1" s="1"/>
  <c r="AP210" i="1"/>
  <c r="AY210" i="1" s="1"/>
  <c r="AZ197" i="1"/>
  <c r="AZ205" i="1"/>
  <c r="AZ213" i="1"/>
  <c r="AZ188" i="1"/>
  <c r="AZ187" i="1"/>
  <c r="AP162" i="1"/>
  <c r="AY162" i="1" s="1"/>
  <c r="AP143" i="1"/>
  <c r="AY143" i="1" s="1"/>
  <c r="AP115" i="1"/>
  <c r="AY115" i="1" s="1"/>
  <c r="AP94" i="1"/>
  <c r="AY94" i="1" s="1"/>
  <c r="AP95" i="1"/>
  <c r="AY95" i="1" s="1"/>
  <c r="AZ85" i="1"/>
  <c r="AP71" i="1"/>
  <c r="AY71" i="1" s="1"/>
  <c r="AP56" i="1"/>
  <c r="AY56" i="1" s="1"/>
  <c r="AP47" i="1"/>
  <c r="AY47" i="1" s="1"/>
  <c r="AZ51" i="1"/>
  <c r="AP45" i="1"/>
  <c r="AY45" i="1" s="1"/>
  <c r="AP43" i="1"/>
  <c r="AY43" i="1" s="1"/>
  <c r="AZ24" i="1"/>
  <c r="AP16" i="1"/>
  <c r="AY16" i="1" s="1"/>
  <c r="AP28" i="1"/>
  <c r="AY28" i="1" s="1"/>
  <c r="AP52" i="1"/>
  <c r="AY52" i="1" s="1"/>
  <c r="AP86" i="1"/>
  <c r="AY86" i="1" s="1"/>
  <c r="AP108" i="1"/>
  <c r="AY108" i="1" s="1"/>
  <c r="AP134" i="1"/>
  <c r="AY134" i="1" s="1"/>
  <c r="AP139" i="1"/>
  <c r="AY139" i="1" s="1"/>
  <c r="AP157" i="1"/>
  <c r="AY157" i="1" s="1"/>
  <c r="AZ21" i="1"/>
  <c r="AZ44" i="1"/>
  <c r="AZ65" i="1"/>
  <c r="AP79" i="1"/>
  <c r="AY79" i="1" s="1"/>
  <c r="AP87" i="1"/>
  <c r="AY87" i="1" s="1"/>
  <c r="AP96" i="1"/>
  <c r="AY96" i="1" s="1"/>
  <c r="AP109" i="1"/>
  <c r="AY109" i="1" s="1"/>
  <c r="AP119" i="1"/>
  <c r="AY119" i="1" s="1"/>
  <c r="AP136" i="1"/>
  <c r="AY136" i="1" s="1"/>
  <c r="AP148" i="1"/>
  <c r="AY148" i="1" s="1"/>
  <c r="AP173" i="1"/>
  <c r="AY173" i="1" s="1"/>
  <c r="AZ166" i="1"/>
  <c r="AP200" i="1"/>
  <c r="AY200" i="1" s="1"/>
  <c r="AZ216" i="1"/>
  <c r="AZ199" i="1"/>
  <c r="AZ215" i="1"/>
  <c r="AZ17" i="1"/>
  <c r="AP177" i="1"/>
  <c r="AY177" i="1" s="1"/>
  <c r="AP186" i="1"/>
  <c r="AY186" i="1" s="1"/>
  <c r="AP196" i="1"/>
  <c r="AY196" i="1" s="1"/>
  <c r="AP204" i="1"/>
  <c r="AY204" i="1" s="1"/>
  <c r="AP212" i="1"/>
  <c r="AY212" i="1" s="1"/>
  <c r="AZ50" i="1"/>
  <c r="AP171" i="1"/>
  <c r="AY171" i="1" s="1"/>
  <c r="AP185" i="1"/>
  <c r="AY185" i="1" s="1"/>
  <c r="AZ195" i="1"/>
  <c r="AZ203" i="1"/>
  <c r="AZ211" i="1"/>
  <c r="AZ20" i="1"/>
  <c r="AP48" i="1"/>
  <c r="AY48" i="1" s="1"/>
  <c r="AP60" i="1"/>
  <c r="AY60" i="1" s="1"/>
  <c r="AP68" i="1"/>
  <c r="AY68" i="1" s="1"/>
  <c r="AP82" i="1"/>
  <c r="AY82" i="1" s="1"/>
  <c r="AP90" i="1"/>
  <c r="AY90" i="1" s="1"/>
  <c r="AP103" i="1"/>
  <c r="AY103" i="1" s="1"/>
  <c r="AZ114" i="1"/>
  <c r="AP123" i="1"/>
  <c r="AY123" i="1" s="1"/>
  <c r="AP25" i="1"/>
  <c r="AY25" i="1" s="1"/>
  <c r="AZ13" i="1"/>
  <c r="AP13" i="1"/>
  <c r="AY13" i="1" s="1"/>
  <c r="AU12" i="1"/>
  <c r="AW12" i="1" s="1"/>
  <c r="AW222" i="1" s="1"/>
  <c r="AK12" i="1"/>
  <c r="AK222" i="1" s="1"/>
  <c r="AI12" i="1"/>
  <c r="AG12" i="1"/>
  <c r="AG222" i="1" s="1"/>
  <c r="AA12" i="1"/>
  <c r="Y12" i="1"/>
  <c r="Y222" i="1" s="1"/>
  <c r="W12" i="1"/>
  <c r="U12" i="1"/>
  <c r="U222" i="1" s="1"/>
  <c r="Q12" i="1"/>
  <c r="Q222" i="1" s="1"/>
  <c r="O12" i="1"/>
  <c r="AC12" i="1" l="1"/>
  <c r="AC222" i="1" s="1"/>
  <c r="AQ12" i="1" l="1"/>
  <c r="AQ222" i="1" l="1"/>
  <c r="AZ12" i="1"/>
  <c r="AZ222" i="1"/>
  <c r="AP12" i="1"/>
  <c r="AP222" i="1" s="1"/>
  <c r="AY12" i="1" l="1"/>
  <c r="AY222" i="1" s="1"/>
</calcChain>
</file>

<file path=xl/comments1.xml><?xml version="1.0" encoding="utf-8"?>
<comments xmlns="http://schemas.openxmlformats.org/spreadsheetml/2006/main">
  <authors>
    <author>Данилова Светлана Радиковна</author>
  </authors>
  <commentList>
    <comment ref="B183" authorId="0" shapeId="0">
      <text>
        <r>
          <rPr>
            <b/>
            <sz val="9"/>
            <color indexed="81"/>
            <rFont val="Tahoma"/>
            <family val="2"/>
            <charset val="204"/>
          </rPr>
          <t>Данилова Светлана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какой гцтэт?</t>
        </r>
      </text>
    </comment>
  </commentList>
</comments>
</file>

<file path=xl/sharedStrings.xml><?xml version="1.0" encoding="utf-8"?>
<sst xmlns="http://schemas.openxmlformats.org/spreadsheetml/2006/main" count="815" uniqueCount="295">
  <si>
    <t>Характеристика убираемых внутренних помещений</t>
  </si>
  <si>
    <t>Характеристика убираемых прилегающих территорий (кв.м.)</t>
  </si>
  <si>
    <t>Общая убираемая площадь помещений объекта  (кв.м.)</t>
  </si>
  <si>
    <t>Типы помещений объекта (кв.м.)</t>
  </si>
  <si>
    <t>№ п/п</t>
  </si>
  <si>
    <t>Наименование объекта</t>
  </si>
  <si>
    <t xml:space="preserve">Объект предоставления услуг </t>
  </si>
  <si>
    <t>Офисные помещения (кв.м)</t>
  </si>
  <si>
    <t>Технологические помещения связи (кв.м)</t>
  </si>
  <si>
    <t>Помещения коммерческого назначения (точки продаж) (кв.м)</t>
  </si>
  <si>
    <t>Складские помещения (кв.м)</t>
  </si>
  <si>
    <t>Помещения вспомогательного назначения (кв.м)</t>
  </si>
  <si>
    <t>Помещения гаража (кв.м)</t>
  </si>
  <si>
    <t>Места общего пользования (кв.м)</t>
  </si>
  <si>
    <t>С/У (туалетные комнаты) (кв.м)</t>
  </si>
  <si>
    <t>Требуемая  периодичность</t>
  </si>
  <si>
    <t>Административно- производственное здание (АТС)</t>
  </si>
  <si>
    <t>Гаражное помещение</t>
  </si>
  <si>
    <t>Здание АТС</t>
  </si>
  <si>
    <t>прочие</t>
  </si>
  <si>
    <t>Расчётно-сервисный центр</t>
  </si>
  <si>
    <t>Районный узел электросвязи</t>
  </si>
  <si>
    <t>*Стоимость услуг в месяц с НДС (руб.)</t>
  </si>
  <si>
    <t>*Стоимость услуг в месяц без НДС (руб.)</t>
  </si>
  <si>
    <t>*ИТОГО, стоимость услуг по объекту в месяц, с НДС (руб.)</t>
  </si>
  <si>
    <t>*ИТОГО, стоимость услуг по объекту в месяц, без НДС (руб.)</t>
  </si>
  <si>
    <t>*Стоимость кв.м в месяц без НДС (руб.)</t>
  </si>
  <si>
    <t>*Стоимость кв. м в месяц с НДС (руб.)</t>
  </si>
  <si>
    <t>*Стоимость услуг (уборка прилегающих территорий) в месяц, без НДС (руб.)</t>
  </si>
  <si>
    <t>*Стоимость услуг (уборка прилегающих территорий) в месяц, с НДС (руб.)</t>
  </si>
  <si>
    <t>*Стоимость услуг (уборка внутренних помещений) в месяц, без НДС (руб.)</t>
  </si>
  <si>
    <t>*Стоимость услуг (уборка внутренних помещений) в месяц, с НДС (руб.)</t>
  </si>
  <si>
    <t>*Общая стоимость услуг с НДС (руб.)</t>
  </si>
  <si>
    <t>9=8*6</t>
  </si>
  <si>
    <t>13=12*10</t>
  </si>
  <si>
    <t>17=16*14</t>
  </si>
  <si>
    <t>21=20*18</t>
  </si>
  <si>
    <t>25=24*22</t>
  </si>
  <si>
    <t>29=28*26</t>
  </si>
  <si>
    <t>33=32*30</t>
  </si>
  <si>
    <t>37=36*34</t>
  </si>
  <si>
    <t>41=40*38</t>
  </si>
  <si>
    <t>Общая Убираемая площадь территории (кв.м)</t>
  </si>
  <si>
    <t xml:space="preserve">АДРЕСА ЗДАНИЙ, ПЛОЩАДИ И СТОИМОСТЬ ОКАЗАНИЯ УСЛУГ ПО КОМПЛЕКСНОЙ УБОРКЕ ОБЪЕКТОВ  </t>
  </si>
  <si>
    <t>Республика Башкортостан, г.Уфа, ул.Ахметова 316/3</t>
  </si>
  <si>
    <t>Республика Башкортостан, г.Уфа, ул.Вологодская, 150</t>
  </si>
  <si>
    <t>Республика Башкортостан, г.Уфа, ул.Гагарина, 39/2</t>
  </si>
  <si>
    <t>Республика Башкортостан, г.Уфа, ул.Кирова, 105</t>
  </si>
  <si>
    <t>Республика Башкортостан, г.Уфа, ул.Победы, 21/1</t>
  </si>
  <si>
    <t>Республика Башкортостан, г.Уфа, ул.Правды, 17</t>
  </si>
  <si>
    <t>Республика Башкортостан, г.Уфа, ул.Рабкоров 6/1</t>
  </si>
  <si>
    <t>Республика Башкортостан, г.Уфа, ул.Российская, 19</t>
  </si>
  <si>
    <t>Республика Башкортостан, г.Уфа, ул.Ст. Халтурина, 30</t>
  </si>
  <si>
    <t>Республика Башкортостан, г.Уфа, ул.Т. Янаби 32/1</t>
  </si>
  <si>
    <t>г. Уфа</t>
  </si>
  <si>
    <t xml:space="preserve">Бирский МЦТЭТ </t>
  </si>
  <si>
    <t>Республика Башкортостан, г.Уфа, ул.Гоголя, 59</t>
  </si>
  <si>
    <t>Республика Башкортостан, г.Уфа, ул.Айская, 69/2</t>
  </si>
  <si>
    <t>Цех ТВ и РВ</t>
  </si>
  <si>
    <t>Республика Башкортостан, г.Уфа, ул.Гафури, 9</t>
  </si>
  <si>
    <t>пос. АМЗЯ, ул. Свердлова 12в</t>
  </si>
  <si>
    <t>с. Николо-Березовка,ул.К.Маркса 7  3 этаж</t>
  </si>
  <si>
    <t>Цех электросвязи г. Межгорье</t>
  </si>
  <si>
    <t>Мелеузовский МЦТЭТ</t>
  </si>
  <si>
    <t>Белорецкий МЦТЭТ -центр</t>
  </si>
  <si>
    <t xml:space="preserve">Мелеузовский МЦТЭТ -центр  </t>
  </si>
  <si>
    <t>Месягутовский МЦТЭТ</t>
  </si>
  <si>
    <t>Сибайский МЦТЭТ</t>
  </si>
  <si>
    <t>Сибайский МЦТЭТ-центр</t>
  </si>
  <si>
    <t>Туймазинский МЦТЭТ</t>
  </si>
  <si>
    <t>ООО "Ростелеком-розничные системы"</t>
  </si>
  <si>
    <t>Республика Башкортостан, г.Бирск, Октябрьская пл. 4</t>
  </si>
  <si>
    <t>Республика Башкортостан, г.Уфа, ул.Борисоглебская, 41</t>
  </si>
  <si>
    <t>Республика Башкортостан, г.Бирск, Интернациональная 119</t>
  </si>
  <si>
    <t>Республика Башкортостан, Аскинский район, с.Аскино, ул.Советская 7</t>
  </si>
  <si>
    <t>Республика Башкортостан, Бураевский район, с.Бураево, ул.Ленина, 106</t>
  </si>
  <si>
    <t xml:space="preserve">Республика Башкортостан, г.Дюртюли, ул.Ленина,20 </t>
  </si>
  <si>
    <t>Республика Башкортостан, Татышлинский район, с.Татышлы,Ленина 90</t>
  </si>
  <si>
    <t>Республика Башкортостан, Караидельский район,с. Караидель,ул.Ленина, 34</t>
  </si>
  <si>
    <t>Республика Башкортостан, Мишкинский район, с. Мишкино, ул.Ленина,116</t>
  </si>
  <si>
    <t>Республика Башкортостан, г. Нефтекамск, ул.Социалистическая 85</t>
  </si>
  <si>
    <t>Республика Башкортостан, г. Нефтекамск, ул.Ленина 13</t>
  </si>
  <si>
    <t>Республика Башкортостан, Балтачевский район, с. Старобалтачево, ул.Советская 31</t>
  </si>
  <si>
    <t>Республика Башкортостан, г. Янаул, ул.Худайбердина 5</t>
  </si>
  <si>
    <t xml:space="preserve"> Белорецкий МЦТЭТ</t>
  </si>
  <si>
    <t>Республика Башкортостан, г. Белорецк, ул. Ленина,41</t>
  </si>
  <si>
    <t>Республика Башкортостан, Белорецкий район, с.Серменево,ул.Калинина,1</t>
  </si>
  <si>
    <t>Республика Башкортостан, Белорецкий район, с.Ассы ,ул.Больничная,1</t>
  </si>
  <si>
    <t>Республика Башкортостан, Белорецкий район, с.Шигаево,МФЦ</t>
  </si>
  <si>
    <t>Республика Башкортостан, Белорецкий район, п.В.Авзян, ул. Блюхера, 68</t>
  </si>
  <si>
    <t>Республика Башкортостан, Белорецкий район,п. Тукан, ул. Матросова, 11</t>
  </si>
  <si>
    <t>Республика Башкортостан,г.Учалы ул. М.Горького 4а</t>
  </si>
  <si>
    <t>Республика Башкортостан,г.Учалы ул. К.Маркса,22</t>
  </si>
  <si>
    <t>Республика Башкортостан,с.Учалы, ул. Советская,35</t>
  </si>
  <si>
    <t>Республика Башкортостан,Учалинский район,п. Уральск, ул. Советская, 17</t>
  </si>
  <si>
    <t>Республика Башкортостан,Учалинский район,п. Миндяк, ул. Уфимская, 1а</t>
  </si>
  <si>
    <t>Республика Башкортостан,Учалинский район,п.Ахуново, ул. Партизанская</t>
  </si>
  <si>
    <t>Республика Башкортостан,Учалинский район,п.Каримово, ул. Центральная,21</t>
  </si>
  <si>
    <t>Республика Башкортостан,Учалинский район,п. Кирябинка, ул. Никольская,10</t>
  </si>
  <si>
    <t>Республика Башкортостан,Учалинский район,п.Буйда, УЛ.Центральная,35</t>
  </si>
  <si>
    <t>Республика Башкортостан,Учалинский район,п. Кунакбаево,ул. Школьная,8</t>
  </si>
  <si>
    <t>Республика Башкортостан,Учалинский район,п. Новобайрамгулово,ул. Шоссейная,41</t>
  </si>
  <si>
    <t>Республика Башкортостан,Учалинский район,д. Уразово, ул. Центральная,18</t>
  </si>
  <si>
    <t>Республика Башкортостан,Учалинский район,д. Ишмекеево, ул. Сорагол, 3</t>
  </si>
  <si>
    <t>Республика Башкортостан,Учалинский район,д. Расулево,ул. Школьная 2</t>
  </si>
  <si>
    <t>Республика Башкортостан,Учалинский район,п. Зайникей, ул. Серебренникова</t>
  </si>
  <si>
    <t>Республика Башкортостан,Учалинский район,п. Озерный, ул. Школьная,30</t>
  </si>
  <si>
    <t>Республика Башкортостан,Учалинский район,г. Учалы-2,пер. Школьный,1</t>
  </si>
  <si>
    <t>Республика Башкортостан, Белорецкий район, г. Межгорье,ул. Кооперативная, 5</t>
  </si>
  <si>
    <t>Республика Башкортостан, Белорецкий район, г. Межгорье,ул. Советская, 27</t>
  </si>
  <si>
    <t>Республика Башкортостан, Белорецкий район, г. Межгорье,ул. Дудорова, 2</t>
  </si>
  <si>
    <t>Республика Башкортостан, г. Мелеуз,ул.Воровского 2</t>
  </si>
  <si>
    <t>Республика Башкортостан, г. Мелеуз, ул.Смоленская 45</t>
  </si>
  <si>
    <t>Республика Башкортостан, г. Кумертау, ул.Ленина, 5</t>
  </si>
  <si>
    <t>Республика Башкортостан, г. Кумертау, ул. Ленина, 6а</t>
  </si>
  <si>
    <t xml:space="preserve">Республика Башкортостан, г. Кумертау, ул.Куюргазинская, 2а </t>
  </si>
  <si>
    <t>Республика Башкортостан, Куюргазинский район, пгт.Ермолаево, ул.Советская,105</t>
  </si>
  <si>
    <t>Республика Башкортостан, Зианчуринский район, с. Исянгулово, ул.Советская 7</t>
  </si>
  <si>
    <t>Республика Башкортостан, Зианчуринский район, с. Исянгулово,ул. Окт. революции, 49/11</t>
  </si>
  <si>
    <t xml:space="preserve"> Республика Башкортостан, Кугарчинский район, с. Мраково, ул.З.Биишевой 84</t>
  </si>
  <si>
    <t>Месягутовский МЦТЭТ-центр</t>
  </si>
  <si>
    <t>Республика Башкортостан, Дуванский район, с. Месягутово, ул. Коммунистическая, 24</t>
  </si>
  <si>
    <t>Республика Башкортостан, Дуванский район,с. Месягутово, ул. Электрическая, 4</t>
  </si>
  <si>
    <t>Республика Башкортостан, Дуванский район, с. Дуван, ул. Михляева, 1а</t>
  </si>
  <si>
    <t>Республика Башкортостан, Мечетлинский район,с. Большеустьикинское, ул. Ленина, 24</t>
  </si>
  <si>
    <t>Республика Башкортостан, Кигинский район,с. Верхние Киги, ул. Советская, 12</t>
  </si>
  <si>
    <t>Республика Башкортостан, Салаватский район, с. Малояз, ул. Советская, 63</t>
  </si>
  <si>
    <t>Республика Башкортостан, Белокатайский район,с. Новобелокатай, ул. Советская, 107</t>
  </si>
  <si>
    <t>Республика Башкортостан, Хайбуллинский район, с. Акъяр, ул.Акмуллы, 7</t>
  </si>
  <si>
    <t>Республика Башкортостан, г. Баймак,пр. С. Юлаева, 44</t>
  </si>
  <si>
    <t>Республика Башкортостан, Зилаирский район,с. Зилаир, ул. Ленина, д. 64а</t>
  </si>
  <si>
    <t>Республика Башкортостан, г. Сибай, ул. Горького 53а</t>
  </si>
  <si>
    <t>Республика Башкортостан, г.Сибай,ул.Кирова,31</t>
  </si>
  <si>
    <t>Республика Башкортостан, г. Сибай,ул.Индустриальное шоссе, 2</t>
  </si>
  <si>
    <t>Республика Башкортостан, г. Стерлитамак, ул.Дружбы 29б (АТС-41-43)</t>
  </si>
  <si>
    <t>Республика Башкортостан, г. Стерлитамак, ул.Гоголя 118а (АТС-26)</t>
  </si>
  <si>
    <t>Республика Башкортостан, г. Стерлитамак, ул.Салавата Юлаева - 13а (АТС-28)</t>
  </si>
  <si>
    <t xml:space="preserve">Республика Башкортостан, г. Стерлитамак, ул.Худайбердина - 105 </t>
  </si>
  <si>
    <t>Республика Башкортостан, г. Стерлитамак, ул.Коммунистическая -30</t>
  </si>
  <si>
    <t xml:space="preserve">Республика Башкортостан, г. Ишимбай, ул.Советская -74 </t>
  </si>
  <si>
    <t>Республика Башкортостан, г. Ишимбай, ул.Геологическая-11(АТС-2)</t>
  </si>
  <si>
    <t>Республика Башкортостан, Ишимбайский район, ул.с.Петровское,ул.Ленина,19</t>
  </si>
  <si>
    <t xml:space="preserve">Республика Башкортостан, г. Салават, ул.Октябрьская - 33 </t>
  </si>
  <si>
    <t>Республика Башкортостан, г. Салават, ул.Гагарина - 5 (АТС -35)</t>
  </si>
  <si>
    <t>Республика Башкортостан, г. Салават, ул.Островского - 53 (АТС -33-34)</t>
  </si>
  <si>
    <t>Республика Башкортостан, Стерлибашевский район, с. Стерлибашево, ул.Карла Маркса - 109</t>
  </si>
  <si>
    <t xml:space="preserve">Республика Башкортостан,Аургазинский район, с. Толбазы, ул.Первомайская - 12 </t>
  </si>
  <si>
    <t xml:space="preserve">Республика Башкортостан, Федоровский район, с.Федоровка, ул.Коммунистическая - 72 </t>
  </si>
  <si>
    <t>Республика Башкортостан, Бакалинский район, с. Бакалы,ул.Мостовая,4</t>
  </si>
  <si>
    <t>Республика Башкортостан, г.Белебей, ул.Ленина, 7</t>
  </si>
  <si>
    <t>Республика Башкортостан, Белебеевский район,п.Приютово, Бульвар Мира, 2а</t>
  </si>
  <si>
    <t>Республика Башкортостан, Бижбулякский район, с. Бижбуляк, ул.Центральная, 50а</t>
  </si>
  <si>
    <t>Республика Башкортостан, Буздякский район, с. Буздяк, ул.Красная площадь,19</t>
  </si>
  <si>
    <t>Республика Башкортостан, г.Давлеканово, ул.Победы 29</t>
  </si>
  <si>
    <t>Республика Башкортостан, г.Давлеканово, ул.Высоковольтная 20/2</t>
  </si>
  <si>
    <t>Республика Башкортостан, Ермекеевский район, с.Ермекеево, ул.Ленина, 17</t>
  </si>
  <si>
    <t>Республика Башкортостан, Миякинский район, с. Киргиз-Мияки,ул.Ленина 21</t>
  </si>
  <si>
    <t>Республика Башкортостан, г. Октябрьск, ул. Ленина.59</t>
  </si>
  <si>
    <t>Республика Башкортостан, г. Октябрьск, ул.Горького,40</t>
  </si>
  <si>
    <t>Республика Башкортостан, г. Октябрьск, ул.Герцена, 20а</t>
  </si>
  <si>
    <t>Республика Башкортостан, г. Октябрьск, ул.Девонская,87</t>
  </si>
  <si>
    <t>Республика Башкортостан, Туймазинский район, с. Раевка, ул.Ленина,114</t>
  </si>
  <si>
    <t>Республика Башкортостан, г. Туймазы, ул.Чехова, 1Б</t>
  </si>
  <si>
    <t>Республика Башкортостан,Чекмагушевский район,с. Чекмагуш, ул.Ленина 57</t>
  </si>
  <si>
    <t>Республика Башкортостан,Шаранский район,с. Шаран, Центральная 23</t>
  </si>
  <si>
    <t>Республика Башкортостан, Благоварский район, с. Языково, ул.Ленина,  83</t>
  </si>
  <si>
    <t>Республика Башкортостан, г. Нефтекамск,ул.Социалистическая,85</t>
  </si>
  <si>
    <t>Республика Башкортостан, г. Нефтекамск,ул.Ленина,  13</t>
  </si>
  <si>
    <t>Республика Башкортостан, г. Янаул,ул.Худайбердина,5</t>
  </si>
  <si>
    <t>Республика Башкортостан, г.Агидель ул.Курчатова,15</t>
  </si>
  <si>
    <t>Республика Башкортостан,г. Стерлитамак, ул.Гоголя,118а(АТС-26)</t>
  </si>
  <si>
    <t>Республика Башкортостан,г. Стерлитамак, ул.Сакко и Вацетти,23(АТС-25)</t>
  </si>
  <si>
    <t>Республика Башкортостан,г. Стерлитамак, ул.Караная Муратова,2</t>
  </si>
  <si>
    <t>Республика Башкортостан,г. Стерлитамак, ул.Коммунистическая,30</t>
  </si>
  <si>
    <t>Республика Башкортостан,г. Ишимбай, ул.Советская,74</t>
  </si>
  <si>
    <t>Республика Башкортостан,Гафурийский район, п. Красноусольский, ул.Коммунистическая,10</t>
  </si>
  <si>
    <t>Республика Башкортостан,г. Салават, ул.Октябрьская,33</t>
  </si>
  <si>
    <t>Республика Башкортостан,г. Салават,ул.Ю.Гагарина,5</t>
  </si>
  <si>
    <t>Республика Башкортостан,Аургазинский район, с. Толбазы,ул.Первомайская,12</t>
  </si>
  <si>
    <t>Республика Башкортостан, Федоровский район, с. Федоровка,ул.Коммунистическая,72</t>
  </si>
  <si>
    <t>РП-17,Республика Башкортостан, г. Уфа, ул.Ирендык, 4</t>
  </si>
  <si>
    <t>Республика Башкортостан, г. Стерлитамак, ул.Сакко и Ванцетти - 23</t>
  </si>
  <si>
    <t>Республика Башкортостан, Гафурийский район, п. Красноусольский,ул.Коммунистическая - 10</t>
  </si>
  <si>
    <t>Республика Башкортостан, Стерлибашевский район, с. Стерлибашево, ул.К.Маркса,109</t>
  </si>
  <si>
    <t>Республика Башкортостан, Абзелиловский район, с. Аскарово, ул. Ленина, 35</t>
  </si>
  <si>
    <t>Республика Башкортостан, Бурзянский район, с. Старосубхангулово, ул. Ленина, 84</t>
  </si>
  <si>
    <t>Республика Башкортостан, Илишевский район, с. Верхнеяркеево, ул.Красноармейская 37</t>
  </si>
  <si>
    <t>Республика Башкортостан,Учалинский район,д. Ильчино,ул. Учителей,1</t>
  </si>
  <si>
    <t>Салаватский ЛТЦ</t>
  </si>
  <si>
    <t>Республика Башкортостан, Куюргазинский район, пгт.Ермолаево, пр. Мира,6</t>
  </si>
  <si>
    <t>Нефтекамский  МЦТЭТ</t>
  </si>
  <si>
    <t>Республика Башкортостан, г.Агидель,ул. Академика Курчатова 15</t>
  </si>
  <si>
    <t>Учалинский ЛТЦ</t>
  </si>
  <si>
    <t>Кумертауский ЛТЦ</t>
  </si>
  <si>
    <t>Стерлитамакский ГЦТЭТ - центр</t>
  </si>
  <si>
    <t>Ишимбайский МЦТЭТ</t>
  </si>
  <si>
    <t>Белебеевский МЦТЭТ</t>
  </si>
  <si>
    <t>Давлекановский  ЛТЦ</t>
  </si>
  <si>
    <t>Киргиз-Миякинский ЛТЦ</t>
  </si>
  <si>
    <t>Октябрьский ЛТЦ</t>
  </si>
  <si>
    <t>Туймазинский МУЭС-центр</t>
  </si>
  <si>
    <t>Чекмагушевский ЛТЦ</t>
  </si>
  <si>
    <t>Республика Башкортостан, г. Баймак,микрорайон "Северо-восточный,ул.Худайбердина</t>
  </si>
  <si>
    <t>Республика Башкортостан, г. Белорецк,ул.Грязнова,100</t>
  </si>
  <si>
    <t>Республика Башкортостан, Бакалинский район, с.Старогусево РТПС</t>
  </si>
  <si>
    <t>Республика Башкортостан, г. Белебеей,ул.Дорожная,2д РТС</t>
  </si>
  <si>
    <t>Республика Башкортостан, Дуванский район, с. Месягутово,ул.Магистральная,42</t>
  </si>
  <si>
    <t>Республика Башкортостан, Салаватский район, г.Салават,станция Южная,1</t>
  </si>
  <si>
    <t>Республика Башкортостан, Зианчуринский район, с. Исянгулово,ул.М.Гафури,16</t>
  </si>
  <si>
    <t>Республика Башкортостан, Благоварский район, с. Языково, 1,5 км.от автодороги в сторону Узербаш</t>
  </si>
  <si>
    <t xml:space="preserve">Республика Башкортостан, г.Белорецк, ул. Челябинская, 13 </t>
  </si>
  <si>
    <t>Здание ЛТЦ</t>
  </si>
  <si>
    <t>Здание МЦТЭТ</t>
  </si>
  <si>
    <t>Здание электросвязи</t>
  </si>
  <si>
    <t>Здание ГЦТЭТ</t>
  </si>
  <si>
    <t>Здание МУЭС</t>
  </si>
  <si>
    <t>Расчётно-сервисный центр РП-17</t>
  </si>
  <si>
    <t>Расчётно-сервисный центр РП-24</t>
  </si>
  <si>
    <t>Расчётно-сервисный центр РП-11</t>
  </si>
  <si>
    <t>Расчётно-сервисный центр РП-46</t>
  </si>
  <si>
    <t>Расчётно-сервисный центр РП-1</t>
  </si>
  <si>
    <t>Расчётно-сервисный центр РП</t>
  </si>
  <si>
    <t>Расчётно-сервисный центр РП-5</t>
  </si>
  <si>
    <t>Расчётно-сервисный центр РП-6</t>
  </si>
  <si>
    <t>ИТОГО по ПАО "Башинфорсвязь"</t>
  </si>
  <si>
    <t>Республика Башкортостан, г. Уфа, ул. Р.Зорге, 67/3</t>
  </si>
  <si>
    <t>Бирский МУЭС-центр,Здание ГТС</t>
  </si>
  <si>
    <t>Гаражное помещение, Здание ЛТЦ</t>
  </si>
  <si>
    <t>Республика Башкортостан, г. Уфа, ул.Правды,17</t>
  </si>
  <si>
    <t>,Республика Башкортостан, г. Уфа, ул.Победы,21/1</t>
  </si>
  <si>
    <t>Республика Башкортостан, г. Уфа, ул.Кирова,105</t>
  </si>
  <si>
    <t>Республика Башкортостан, г. Уфа, ул.Сельская,8/2</t>
  </si>
  <si>
    <t>Республика Башкортостан, г. Уфа, ул.Борисоглебского,41</t>
  </si>
  <si>
    <t>Республика Башкортостан, г. Уфа, ул.Т.Янаби,32/1</t>
  </si>
  <si>
    <t>Республика Башкортостан, г. Уфа, ул.Рабкоров, 6/1</t>
  </si>
  <si>
    <t>Республика Башкортостан, г.Бирск, ул. Бурновская, 10</t>
  </si>
  <si>
    <t>Республика Башкортостан, г.Бирск,8 Марта 38а</t>
  </si>
  <si>
    <t>Республика Башкортостан, Белорецкий район,п. Тирлян, ул. Советская, 1а</t>
  </si>
  <si>
    <t>Стерлитамакский ГЦТЭТ</t>
  </si>
  <si>
    <t>Караидельский ЛТЦ</t>
  </si>
  <si>
    <t>Мишкинский ЛТЦ</t>
  </si>
  <si>
    <t>В.Татышлинский ЛТЦ</t>
  </si>
  <si>
    <t>Бураевский ЛТЦ</t>
  </si>
  <si>
    <t>Аскинский ЛТЦ</t>
  </si>
  <si>
    <t>Республика Башкортостан, с.Калтасы,ул. К.Маркса-49</t>
  </si>
  <si>
    <t>Республика Башкортостан, г.Уфа, ул.Ленина, 30</t>
  </si>
  <si>
    <t>Республика Башкортостан, г.Уфа, ул.Ленина, 32</t>
  </si>
  <si>
    <t>Республика Башкортостан, г. Уфа, ул.Ленина,32</t>
  </si>
  <si>
    <t>ТЦТЭТ</t>
  </si>
  <si>
    <t>Республика Башкортостан, г.Уфа, ул.Лесотехникума, 34/2/Луганская 37А</t>
  </si>
  <si>
    <t>Республика Башкортостан, Бураевский район, с.Бураево,Уф.шоссе 2/1</t>
  </si>
  <si>
    <t>РТПС</t>
  </si>
  <si>
    <t>Республика Башкортостан,г. Стерлитамак, ул.Сакко и Вацетти,23</t>
  </si>
  <si>
    <t>КТЛБ-2</t>
  </si>
  <si>
    <t>КТЛБ-4</t>
  </si>
  <si>
    <t>Участок спецсвязь</t>
  </si>
  <si>
    <t>Республика Башкортостан,г. Белебей, ул.Коммунистическая, 53 (здание лаборатории)</t>
  </si>
  <si>
    <t>Республика Башкортостан,г. Уфа, ул. Ленина, 30</t>
  </si>
  <si>
    <t>Республика Башкортостан,г. Уфа, ул. Правды, 17</t>
  </si>
  <si>
    <t>50=48*44</t>
  </si>
  <si>
    <t>51=42+49</t>
  </si>
  <si>
    <t>52=43+50</t>
  </si>
  <si>
    <t>49=47*44</t>
  </si>
  <si>
    <t>Республика Башкортостан, г.Уфа, ул.Каспийская 14</t>
  </si>
  <si>
    <t>Республика Башкортостан, г. Уфа, ,ул.Гагарина,39/2</t>
  </si>
  <si>
    <t>Республика Башкортостан, г. Уфа, ,ул.Гагарина,39</t>
  </si>
  <si>
    <t>Республика Башкортостан, г. Уфа, ул.Российская,19</t>
  </si>
  <si>
    <t>Адрес объекта (полный, с указанием субъекта федерации)</t>
  </si>
  <si>
    <t>Помещения руководства  (VIP зоны) (кв.м)</t>
  </si>
  <si>
    <t>ТИП ЗДАНИЯ (прочие объекты )</t>
  </si>
  <si>
    <t>Согласно Приложения № 2 к Договору</t>
  </si>
  <si>
    <t>Республика Башкортостан, г.Уфа, ул.Ленина, 30/1</t>
  </si>
  <si>
    <t>Республика Башкортостан, г. Стерлитамакский район, с. Наумовка, ул.Ленина - 37</t>
  </si>
  <si>
    <t>Стерлтбашевский ЛТЦ</t>
  </si>
  <si>
    <t>Красноусольский ЛТЦ</t>
  </si>
  <si>
    <t>Толбазинский ЛТЦ</t>
  </si>
  <si>
    <t>Федоровский ЛТЦ</t>
  </si>
  <si>
    <t>ЦМТЭТ</t>
  </si>
  <si>
    <t>Центральный МЦТЭТ</t>
  </si>
  <si>
    <t>Республика Башкортостан, Благовнщенск, ул. Седова, 118/3</t>
  </si>
  <si>
    <t>Республика Башкортостан, Благовнщенск, ул. Советская, 28</t>
  </si>
  <si>
    <t>Республика Башкортостан, с. Иглино, ул.Свердлова, 9</t>
  </si>
  <si>
    <t xml:space="preserve">Республика Башкортостан,Нуримановский район , с.Красная Горка ,ул.Советская ,53 </t>
  </si>
  <si>
    <t>Республика Башкортостан,Нуримановский район ,с.Новокулево , ул.Советская ,2</t>
  </si>
  <si>
    <t>Республика Башкортостан,Нуримановский район ,с.Красный Ключ  , ул.Валеева ,2</t>
  </si>
  <si>
    <t>Республика Башкортостан,Нуримановский район ,с.Павловка   , ул.Графтио,39</t>
  </si>
  <si>
    <t>РБ, Кушнаренковскиий р-н с.Кушнаренково ул. Октябрьская 64</t>
  </si>
  <si>
    <t>Республика Башкортостан, р.п. Чишмы, ул. Кирова, д.48А</t>
  </si>
  <si>
    <t>Республика Башкортостан, Кармаскалинский р-н, с.Кармаскалы, ул.Садовая, д.22</t>
  </si>
  <si>
    <t>Республика Башкортостан, Архангельский р-н, с.Архангельское, ул.Советская, д.39</t>
  </si>
  <si>
    <t xml:space="preserve">Янаульский ЛТЦ </t>
  </si>
  <si>
    <t xml:space="preserve">  AZ12:AZ34</t>
  </si>
  <si>
    <t>ПРИЛОЖЕНИЕ № 1 к Техническому заданию</t>
  </si>
  <si>
    <t xml:space="preserve">* - начальная (максимальная) стоимость руб./кв.м. в месяц </t>
  </si>
  <si>
    <t>43=13+17+21+25+29+37+41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</si>
</sst>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00000"/>
  </numFmts>
  <fonts count="35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rgb="FFFF0000"/>
      <name val="Calibri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indexed="8"/>
      <name val="Arial"/>
      <family val="2"/>
      <charset val="204"/>
    </font>
    <font>
      <b/>
      <sz val="2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rgb="FFFF0000"/>
      <name val="Calibri"/>
      <family val="2"/>
      <charset val="204"/>
    </font>
    <font>
      <sz val="36"/>
      <color indexed="8"/>
      <name val="Calibri"/>
      <family val="2"/>
      <charset val="204"/>
    </font>
    <font>
      <sz val="36"/>
      <name val="Arial Cyr"/>
      <charset val="204"/>
    </font>
    <font>
      <b/>
      <sz val="36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0" fontId="6" fillId="0" borderId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 vertical="center"/>
    </xf>
    <xf numFmtId="0" fontId="3" fillId="7" borderId="0" xfId="0" applyFont="1" applyFill="1"/>
    <xf numFmtId="0" fontId="3" fillId="8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8" borderId="0" xfId="0" applyFont="1" applyFill="1" applyBorder="1"/>
    <xf numFmtId="16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8" borderId="0" xfId="0" applyFill="1" applyBorder="1"/>
    <xf numFmtId="0" fontId="4" fillId="0" borderId="0" xfId="0" applyFont="1" applyFill="1" applyBorder="1"/>
    <xf numFmtId="0" fontId="4" fillId="0" borderId="0" xfId="0" applyFont="1" applyBorder="1"/>
    <xf numFmtId="0" fontId="7" fillId="0" borderId="0" xfId="1"/>
    <xf numFmtId="0" fontId="10" fillId="0" borderId="0" xfId="0" applyNumberFormat="1" applyFont="1" applyFill="1" applyBorder="1" applyAlignment="1" applyProtection="1">
      <alignment vertical="top" wrapText="1"/>
    </xf>
    <xf numFmtId="4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166" fontId="0" fillId="0" borderId="0" xfId="0" applyNumberFormat="1" applyFill="1" applyAlignment="1">
      <alignment horizontal="center" vertical="center"/>
    </xf>
    <xf numFmtId="4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8" borderId="0" xfId="0" applyFill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5" fillId="8" borderId="0" xfId="0" applyFont="1" applyFill="1" applyBorder="1"/>
    <xf numFmtId="0" fontId="5" fillId="8" borderId="0" xfId="0" applyFont="1" applyFill="1"/>
    <xf numFmtId="0" fontId="15" fillId="8" borderId="0" xfId="0" applyFont="1" applyFill="1" applyBorder="1"/>
    <xf numFmtId="0" fontId="15" fillId="8" borderId="0" xfId="0" applyFont="1" applyFill="1"/>
    <xf numFmtId="0" fontId="15" fillId="7" borderId="0" xfId="0" applyFont="1" applyFill="1"/>
    <xf numFmtId="0" fontId="12" fillId="8" borderId="0" xfId="0" applyFont="1" applyFill="1" applyBorder="1"/>
    <xf numFmtId="0" fontId="12" fillId="8" borderId="0" xfId="0" applyFont="1" applyFill="1"/>
    <xf numFmtId="4" fontId="16" fillId="0" borderId="0" xfId="0" applyNumberFormat="1" applyFont="1" applyBorder="1" applyAlignment="1">
      <alignment horizontal="center" vertical="center"/>
    </xf>
    <xf numFmtId="0" fontId="17" fillId="8" borderId="0" xfId="0" applyFont="1" applyFill="1" applyBorder="1"/>
    <xf numFmtId="0" fontId="17" fillId="8" borderId="0" xfId="0" applyFont="1" applyFill="1"/>
    <xf numFmtId="0" fontId="5" fillId="8" borderId="0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3" fillId="7" borderId="1" xfId="0" applyFont="1" applyFill="1" applyBorder="1"/>
    <xf numFmtId="0" fontId="3" fillId="0" borderId="0" xfId="0" applyFont="1" applyFill="1"/>
    <xf numFmtId="0" fontId="3" fillId="0" borderId="1" xfId="0" applyFont="1" applyFill="1" applyBorder="1"/>
    <xf numFmtId="0" fontId="15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8" fillId="0" borderId="0" xfId="0" applyFont="1" applyBorder="1"/>
    <xf numFmtId="0" fontId="2" fillId="0" borderId="0" xfId="1" applyFont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0" fontId="19" fillId="0" borderId="0" xfId="0" applyNumberFormat="1" applyFont="1" applyFill="1" applyBorder="1" applyAlignment="1" applyProtection="1">
      <alignment vertical="top"/>
    </xf>
    <xf numFmtId="0" fontId="20" fillId="0" borderId="0" xfId="0" applyFont="1"/>
    <xf numFmtId="4" fontId="3" fillId="0" borderId="0" xfId="0" applyNumberFormat="1" applyFont="1"/>
    <xf numFmtId="0" fontId="0" fillId="0" borderId="0" xfId="0" applyFill="1" applyBorder="1"/>
    <xf numFmtId="0" fontId="20" fillId="0" borderId="0" xfId="0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3" fillId="8" borderId="12" xfId="0" applyFont="1" applyFill="1" applyBorder="1"/>
    <xf numFmtId="0" fontId="3" fillId="0" borderId="12" xfId="0" applyFont="1" applyFill="1" applyBorder="1"/>
    <xf numFmtId="0" fontId="3" fillId="7" borderId="12" xfId="0" applyFont="1" applyFill="1" applyBorder="1"/>
    <xf numFmtId="0" fontId="0" fillId="0" borderId="1" xfId="0" applyBorder="1"/>
    <xf numFmtId="0" fontId="14" fillId="8" borderId="6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4" fillId="8" borderId="0" xfId="0" applyFont="1" applyFill="1" applyBorder="1" applyAlignment="1">
      <alignment horizontal="center"/>
    </xf>
    <xf numFmtId="166" fontId="14" fillId="8" borderId="0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3" fillId="0" borderId="2" xfId="0" applyFont="1" applyFill="1" applyBorder="1"/>
    <xf numFmtId="4" fontId="0" fillId="0" borderId="0" xfId="0" applyNumberFormat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5" xfId="0" applyFont="1" applyFill="1" applyBorder="1"/>
    <xf numFmtId="0" fontId="0" fillId="0" borderId="2" xfId="0" applyBorder="1"/>
    <xf numFmtId="0" fontId="5" fillId="8" borderId="13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4" fillId="8" borderId="15" xfId="0" applyFont="1" applyFill="1" applyBorder="1" applyAlignment="1">
      <alignment horizontal="center"/>
    </xf>
    <xf numFmtId="0" fontId="0" fillId="8" borderId="4" xfId="0" applyFill="1" applyBorder="1"/>
    <xf numFmtId="2" fontId="23" fillId="0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16" fillId="0" borderId="0" xfId="0" applyNumberFormat="1" applyFont="1" applyFill="1"/>
    <xf numFmtId="0" fontId="16" fillId="0" borderId="0" xfId="0" applyFont="1" applyFill="1"/>
    <xf numFmtId="0" fontId="17" fillId="0" borderId="0" xfId="0" applyFont="1" applyFill="1"/>
    <xf numFmtId="4" fontId="17" fillId="0" borderId="0" xfId="0" applyNumberFormat="1" applyFont="1" applyFill="1"/>
    <xf numFmtId="0" fontId="17" fillId="0" borderId="0" xfId="0" applyFont="1" applyFill="1" applyBorder="1"/>
    <xf numFmtId="166" fontId="13" fillId="0" borderId="15" xfId="0" applyNumberFormat="1" applyFont="1" applyFill="1" applyBorder="1" applyAlignment="1">
      <alignment horizontal="center" vertical="center" wrapText="1"/>
    </xf>
    <xf numFmtId="166" fontId="16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>
      <alignment horizontal="center" vertical="center"/>
    </xf>
    <xf numFmtId="166" fontId="16" fillId="0" borderId="0" xfId="0" applyNumberFormat="1" applyFont="1" applyFill="1"/>
    <xf numFmtId="4" fontId="9" fillId="0" borderId="0" xfId="0" applyNumberFormat="1" applyFont="1" applyBorder="1"/>
    <xf numFmtId="0" fontId="16" fillId="0" borderId="0" xfId="0" applyFont="1" applyFill="1" applyBorder="1"/>
    <xf numFmtId="166" fontId="17" fillId="0" borderId="0" xfId="0" applyNumberFormat="1" applyFont="1" applyFill="1"/>
    <xf numFmtId="0" fontId="24" fillId="3" borderId="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9" borderId="11" xfId="0" applyFont="1" applyFill="1" applyBorder="1" applyAlignment="1">
      <alignment horizontal="center" vertical="center" wrapText="1"/>
    </xf>
    <xf numFmtId="0" fontId="24" fillId="9" borderId="14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top" wrapText="1"/>
    </xf>
    <xf numFmtId="166" fontId="28" fillId="0" borderId="3" xfId="0" applyNumberFormat="1" applyFont="1" applyFill="1" applyBorder="1" applyAlignment="1">
      <alignment horizontal="center" vertical="center" wrapText="1"/>
    </xf>
    <xf numFmtId="166" fontId="29" fillId="0" borderId="3" xfId="0" applyNumberFormat="1" applyFont="1" applyFill="1" applyBorder="1" applyAlignment="1">
      <alignment horizontal="center" vertical="center" wrapText="1"/>
    </xf>
    <xf numFmtId="166" fontId="28" fillId="0" borderId="3" xfId="6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 wrapText="1"/>
    </xf>
    <xf numFmtId="166" fontId="29" fillId="0" borderId="4" xfId="0" applyNumberFormat="1" applyFont="1" applyFill="1" applyBorder="1" applyAlignment="1">
      <alignment horizontal="center" vertical="center" wrapText="1"/>
    </xf>
    <xf numFmtId="4" fontId="29" fillId="0" borderId="3" xfId="0" applyNumberFormat="1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vertical="center" wrapText="1"/>
    </xf>
    <xf numFmtId="166" fontId="29" fillId="0" borderId="6" xfId="0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 applyProtection="1">
      <alignment horizontal="left" vertical="top" wrapText="1"/>
    </xf>
    <xf numFmtId="166" fontId="29" fillId="0" borderId="1" xfId="0" applyNumberFormat="1" applyFont="1" applyFill="1" applyBorder="1" applyAlignment="1">
      <alignment horizontal="center" vertical="center" wrapText="1"/>
    </xf>
    <xf numFmtId="166" fontId="28" fillId="0" borderId="1" xfId="0" applyNumberFormat="1" applyFont="1" applyFill="1" applyBorder="1" applyAlignment="1">
      <alignment horizontal="center" vertical="center" wrapText="1"/>
    </xf>
    <xf numFmtId="166" fontId="28" fillId="0" borderId="1" xfId="6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166" fontId="29" fillId="0" borderId="10" xfId="0" applyNumberFormat="1" applyFont="1" applyFill="1" applyBorder="1" applyAlignment="1">
      <alignment horizontal="center" vertical="center" wrapText="1"/>
    </xf>
    <xf numFmtId="166" fontId="28" fillId="0" borderId="10" xfId="0" applyNumberFormat="1" applyFont="1" applyFill="1" applyBorder="1" applyAlignment="1">
      <alignment horizontal="center" vertical="center" wrapText="1"/>
    </xf>
    <xf numFmtId="166" fontId="28" fillId="0" borderId="10" xfId="6" applyNumberFormat="1" applyFont="1" applyFill="1" applyBorder="1" applyAlignment="1">
      <alignment horizontal="center" vertical="center" wrapText="1"/>
    </xf>
    <xf numFmtId="166" fontId="29" fillId="0" borderId="12" xfId="0" applyNumberFormat="1" applyFont="1" applyFill="1" applyBorder="1" applyAlignment="1">
      <alignment horizontal="center" vertical="center" wrapText="1"/>
    </xf>
    <xf numFmtId="4" fontId="28" fillId="0" borderId="6" xfId="0" applyNumberFormat="1" applyFont="1" applyFill="1" applyBorder="1" applyAlignment="1">
      <alignment horizontal="center" vertical="center" wrapText="1"/>
    </xf>
    <xf numFmtId="4" fontId="29" fillId="0" borderId="13" xfId="0" applyNumberFormat="1" applyFont="1" applyFill="1" applyBorder="1" applyAlignment="1">
      <alignment horizontal="center" vertical="center" wrapText="1"/>
    </xf>
    <xf numFmtId="0" fontId="30" fillId="8" borderId="6" xfId="0" applyNumberFormat="1" applyFont="1" applyFill="1" applyBorder="1" applyAlignment="1">
      <alignment vertical="center" wrapText="1"/>
    </xf>
    <xf numFmtId="166" fontId="28" fillId="0" borderId="3" xfId="0" applyNumberFormat="1" applyFont="1" applyFill="1" applyBorder="1" applyAlignment="1">
      <alignment horizontal="left" vertical="center" wrapText="1"/>
    </xf>
    <xf numFmtId="0" fontId="28" fillId="0" borderId="10" xfId="0" applyNumberFormat="1" applyFont="1" applyFill="1" applyBorder="1" applyAlignment="1" applyProtection="1">
      <alignment horizontal="left" vertical="top" wrapText="1"/>
    </xf>
    <xf numFmtId="0" fontId="30" fillId="10" borderId="1" xfId="0" applyFont="1" applyFill="1" applyBorder="1" applyAlignment="1">
      <alignment horizontal="left"/>
    </xf>
    <xf numFmtId="166" fontId="30" fillId="10" borderId="1" xfId="0" applyNumberFormat="1" applyFont="1" applyFill="1" applyBorder="1" applyAlignment="1">
      <alignment horizontal="center" vertical="center" wrapText="1"/>
    </xf>
    <xf numFmtId="0" fontId="28" fillId="7" borderId="3" xfId="0" applyNumberFormat="1" applyFont="1" applyFill="1" applyBorder="1" applyAlignment="1">
      <alignment horizontal="left" vertical="top" wrapText="1"/>
    </xf>
    <xf numFmtId="166" fontId="28" fillId="8" borderId="3" xfId="0" applyNumberFormat="1" applyFont="1" applyFill="1" applyBorder="1" applyAlignment="1">
      <alignment horizontal="center" vertical="center" wrapText="1"/>
    </xf>
    <xf numFmtId="0" fontId="28" fillId="7" borderId="1" xfId="0" applyNumberFormat="1" applyFont="1" applyFill="1" applyBorder="1" applyAlignment="1">
      <alignment horizontal="left" vertical="top" wrapText="1"/>
    </xf>
    <xf numFmtId="0" fontId="28" fillId="8" borderId="3" xfId="0" applyNumberFormat="1" applyFont="1" applyFill="1" applyBorder="1" applyAlignment="1">
      <alignment horizontal="left" vertical="center" wrapText="1"/>
    </xf>
    <xf numFmtId="0" fontId="28" fillId="7" borderId="10" xfId="0" applyNumberFormat="1" applyFont="1" applyFill="1" applyBorder="1" applyAlignment="1">
      <alignment horizontal="left" vertical="top" wrapText="1"/>
    </xf>
    <xf numFmtId="0" fontId="28" fillId="7" borderId="13" xfId="0" applyNumberFormat="1" applyFont="1" applyFill="1" applyBorder="1" applyAlignment="1">
      <alignment horizontal="left" vertical="top" wrapText="1"/>
    </xf>
    <xf numFmtId="0" fontId="30" fillId="0" borderId="3" xfId="0" applyNumberFormat="1" applyFont="1" applyFill="1" applyBorder="1" applyAlignment="1">
      <alignment horizontal="left" vertical="center" wrapText="1"/>
    </xf>
    <xf numFmtId="0" fontId="28" fillId="8" borderId="3" xfId="0" applyFont="1" applyFill="1" applyBorder="1" applyAlignment="1">
      <alignment horizontal="center" vertical="center" wrapText="1"/>
    </xf>
    <xf numFmtId="0" fontId="28" fillId="8" borderId="3" xfId="0" applyNumberFormat="1" applyFont="1" applyFill="1" applyBorder="1" applyAlignment="1" applyProtection="1">
      <alignment horizontal="left" vertical="top" wrapText="1"/>
    </xf>
    <xf numFmtId="166" fontId="29" fillId="8" borderId="3" xfId="0" applyNumberFormat="1" applyFont="1" applyFill="1" applyBorder="1" applyAlignment="1">
      <alignment horizontal="center" vertical="center" wrapText="1"/>
    </xf>
    <xf numFmtId="166" fontId="28" fillId="8" borderId="3" xfId="6" applyNumberFormat="1" applyFont="1" applyFill="1" applyBorder="1" applyAlignment="1">
      <alignment horizontal="center" vertical="center" wrapText="1"/>
    </xf>
    <xf numFmtId="4" fontId="28" fillId="8" borderId="3" xfId="0" applyNumberFormat="1" applyFont="1" applyFill="1" applyBorder="1" applyAlignment="1">
      <alignment horizontal="center" vertical="center" wrapText="1"/>
    </xf>
    <xf numFmtId="166" fontId="29" fillId="8" borderId="4" xfId="0" applyNumberFormat="1" applyFont="1" applyFill="1" applyBorder="1" applyAlignment="1">
      <alignment horizontal="center" vertical="center" wrapText="1"/>
    </xf>
    <xf numFmtId="4" fontId="29" fillId="8" borderId="3" xfId="0" applyNumberFormat="1" applyFont="1" applyFill="1" applyBorder="1" applyAlignment="1">
      <alignment horizontal="center" vertical="center" wrapText="1"/>
    </xf>
    <xf numFmtId="0" fontId="28" fillId="7" borderId="1" xfId="0" applyNumberFormat="1" applyFont="1" applyFill="1" applyBorder="1" applyAlignment="1">
      <alignment horizontal="center" vertical="center" wrapText="1"/>
    </xf>
    <xf numFmtId="0" fontId="31" fillId="0" borderId="0" xfId="0" applyFont="1" applyBorder="1"/>
    <xf numFmtId="0" fontId="32" fillId="0" borderId="0" xfId="0" applyFont="1" applyBorder="1"/>
    <xf numFmtId="0" fontId="33" fillId="0" borderId="0" xfId="1" applyFont="1"/>
    <xf numFmtId="0" fontId="34" fillId="0" borderId="0" xfId="0" applyFont="1" applyFill="1" applyBorder="1" applyAlignment="1">
      <alignment wrapText="1"/>
    </xf>
    <xf numFmtId="0" fontId="32" fillId="0" borderId="0" xfId="0" applyFont="1" applyAlignment="1">
      <alignment wrapText="1"/>
    </xf>
    <xf numFmtId="0" fontId="30" fillId="8" borderId="5" xfId="0" applyNumberFormat="1" applyFont="1" applyFill="1" applyBorder="1" applyAlignment="1">
      <alignment horizontal="center" vertical="center" wrapText="1"/>
    </xf>
    <xf numFmtId="0" fontId="30" fillId="8" borderId="6" xfId="0" applyNumberFormat="1" applyFont="1" applyFill="1" applyBorder="1" applyAlignment="1">
      <alignment horizontal="center" vertical="center" wrapText="1"/>
    </xf>
    <xf numFmtId="0" fontId="30" fillId="8" borderId="5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30" fillId="10" borderId="5" xfId="0" applyFont="1" applyFill="1" applyBorder="1" applyAlignment="1">
      <alignment horizontal="left" vertical="center" wrapText="1"/>
    </xf>
    <xf numFmtId="0" fontId="30" fillId="10" borderId="6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4" fontId="24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166" fontId="24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</cellXfs>
  <cellStyles count="10">
    <cellStyle name="Денежный 2" xfId="8"/>
    <cellStyle name="Обычный" xfId="0" builtinId="0"/>
    <cellStyle name="Обычный 2" xfId="1"/>
    <cellStyle name="Обычный 2 2" xfId="7"/>
    <cellStyle name="Обычный 4" xfId="2"/>
    <cellStyle name="Процентный 3" xfId="9"/>
    <cellStyle name="Стиль 1" xfId="3"/>
    <cellStyle name="Финансовый 2" xfId="4"/>
    <cellStyle name="Финансовый 3" xfId="5"/>
    <cellStyle name="Финансовый_Удмуртия Приложение № 1к договору уборки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O236"/>
  <sheetViews>
    <sheetView tabSelected="1" view="pageBreakPreview" topLeftCell="A4" zoomScale="35" zoomScaleNormal="55" zoomScaleSheetLayoutView="35" workbookViewId="0">
      <pane xSplit="4" ySplit="7" topLeftCell="T12" activePane="bottomRight" state="frozen"/>
      <selection activeCell="A4" sqref="A4"/>
      <selection pane="topRight" activeCell="E4" sqref="E4"/>
      <selection pane="bottomLeft" activeCell="A11" sqref="A11"/>
      <selection pane="bottomRight" activeCell="AQ10" sqref="AQ10"/>
    </sheetView>
  </sheetViews>
  <sheetFormatPr defaultRowHeight="15" outlineLevelRow="1" outlineLevelCol="2" x14ac:dyDescent="0.25"/>
  <cols>
    <col min="1" max="1" width="20.42578125" customWidth="1"/>
    <col min="2" max="2" width="49.7109375" customWidth="1"/>
    <col min="3" max="3" width="51.42578125" customWidth="1"/>
    <col min="4" max="4" width="30.85546875" style="2" customWidth="1"/>
    <col min="5" max="5" width="35.5703125" style="3" customWidth="1"/>
    <col min="6" max="6" width="16.85546875" style="6" customWidth="1" outlineLevel="1"/>
    <col min="7" max="7" width="16.140625" style="1" customWidth="1" outlineLevel="2"/>
    <col min="8" max="8" width="16.85546875" style="1" customWidth="1" outlineLevel="2"/>
    <col min="9" max="9" width="23.28515625" style="1" customWidth="1" outlineLevel="2"/>
    <col min="10" max="10" width="33" style="6" customWidth="1" outlineLevel="1"/>
    <col min="11" max="11" width="23.28515625" style="1" customWidth="1" outlineLevel="2"/>
    <col min="12" max="12" width="30.140625" style="1" customWidth="1" outlineLevel="2"/>
    <col min="13" max="13" width="37.5703125" style="1" customWidth="1" outlineLevel="2"/>
    <col min="14" max="14" width="28.140625" style="6" customWidth="1" outlineLevel="1"/>
    <col min="15" max="15" width="20.7109375" style="1" customWidth="1" outlineLevel="2"/>
    <col min="16" max="16" width="14.85546875" style="1" customWidth="1" outlineLevel="2"/>
    <col min="17" max="17" width="31.42578125" style="1" customWidth="1" outlineLevel="2"/>
    <col min="18" max="18" width="26.28515625" style="6" customWidth="1" outlineLevel="1"/>
    <col min="19" max="19" width="25.7109375" style="1" customWidth="1" outlineLevel="2"/>
    <col min="20" max="20" width="27.7109375" style="1" customWidth="1" outlineLevel="2"/>
    <col min="21" max="21" width="26.5703125" style="1" customWidth="1" outlineLevel="2"/>
    <col min="22" max="22" width="27.5703125" style="6" customWidth="1" outlineLevel="1"/>
    <col min="23" max="23" width="21.85546875" style="1" customWidth="1" outlineLevel="2"/>
    <col min="24" max="24" width="23.5703125" style="1" customWidth="1" outlineLevel="2"/>
    <col min="25" max="25" width="32.28515625" style="1" customWidth="1" outlineLevel="2"/>
    <col min="26" max="26" width="35.85546875" style="6" customWidth="1" outlineLevel="1"/>
    <col min="27" max="28" width="18" style="1" customWidth="1" outlineLevel="2"/>
    <col min="29" max="29" width="25.140625" style="1" customWidth="1" outlineLevel="2"/>
    <col min="30" max="30" width="0.85546875" style="6" hidden="1" customWidth="1" outlineLevel="1"/>
    <col min="31" max="31" width="0.28515625" style="1" hidden="1" customWidth="1" outlineLevel="2"/>
    <col min="32" max="32" width="0.42578125" style="1" hidden="1" customWidth="1" outlineLevel="2"/>
    <col min="33" max="33" width="33.85546875" style="1" hidden="1" customWidth="1" outlineLevel="2"/>
    <col min="34" max="34" width="30.7109375" style="6" customWidth="1" outlineLevel="1" collapsed="1"/>
    <col min="35" max="35" width="21.5703125" style="1" customWidth="1" outlineLevel="2"/>
    <col min="36" max="36" width="26.7109375" style="1" customWidth="1" outlineLevel="2"/>
    <col min="37" max="37" width="44.28515625" style="1" customWidth="1" outlineLevel="2"/>
    <col min="38" max="38" width="25.5703125" style="6" customWidth="1" outlineLevel="1"/>
    <col min="39" max="39" width="23.42578125" style="1" customWidth="1" outlineLevel="2"/>
    <col min="40" max="40" width="24.5703125" style="1" customWidth="1" outlineLevel="2"/>
    <col min="41" max="41" width="30.85546875" style="1" customWidth="1" outlineLevel="2"/>
    <col min="42" max="42" width="46.28515625" style="1" customWidth="1" outlineLevel="1"/>
    <col min="43" max="43" width="42.28515625" style="1" customWidth="1" outlineLevel="1"/>
    <col min="44" max="44" width="37.28515625" style="7" customWidth="1"/>
    <col min="45" max="45" width="40.42578125" customWidth="1"/>
    <col min="46" max="46" width="21" style="7" customWidth="1"/>
    <col min="47" max="47" width="29" style="7" customWidth="1"/>
    <col min="48" max="48" width="25" style="7" customWidth="1"/>
    <col min="49" max="49" width="34.140625" style="7" customWidth="1"/>
    <col min="50" max="50" width="40.42578125" style="7" customWidth="1"/>
    <col min="51" max="51" width="36.85546875" customWidth="1"/>
    <col min="52" max="52" width="35.140625" style="22" customWidth="1"/>
    <col min="53" max="53" width="20.85546875" customWidth="1"/>
    <col min="54" max="54" width="9.140625" style="8" customWidth="1"/>
    <col min="55" max="58" width="9.140625" style="8"/>
  </cols>
  <sheetData>
    <row r="1" spans="1:88" ht="60.75" customHeight="1" x14ac:dyDescent="0.7">
      <c r="A1" s="8"/>
      <c r="B1" s="87"/>
      <c r="C1" s="88"/>
      <c r="D1" s="16"/>
      <c r="E1" s="10"/>
      <c r="F1" s="11"/>
      <c r="G1" s="12"/>
      <c r="H1" s="12"/>
      <c r="I1" s="12"/>
      <c r="J1" s="11"/>
      <c r="K1" s="12"/>
      <c r="L1" s="12"/>
      <c r="M1" s="12"/>
      <c r="N1" s="11"/>
      <c r="O1" s="12"/>
      <c r="P1" s="12"/>
      <c r="Q1" s="12"/>
      <c r="R1" s="11"/>
      <c r="S1" s="12"/>
      <c r="T1" s="12"/>
      <c r="U1" s="12"/>
      <c r="V1" s="11"/>
      <c r="W1" s="12"/>
      <c r="X1" s="12"/>
      <c r="Y1" s="12"/>
      <c r="Z1" s="11"/>
      <c r="AA1" s="12"/>
      <c r="AB1" s="12"/>
      <c r="AC1" s="12"/>
      <c r="AD1" s="11"/>
      <c r="AE1" s="12"/>
      <c r="AF1" s="12"/>
      <c r="AG1" s="12"/>
      <c r="AH1" s="11"/>
      <c r="AI1" s="12"/>
      <c r="AJ1" s="12"/>
      <c r="AK1" s="12"/>
      <c r="AL1" s="11"/>
      <c r="AM1" s="12"/>
      <c r="AN1" s="12"/>
      <c r="AO1" s="12"/>
      <c r="AP1" s="12"/>
      <c r="AQ1" s="12"/>
      <c r="AT1" s="15"/>
      <c r="AU1" s="15"/>
      <c r="AV1" s="143" t="s">
        <v>292</v>
      </c>
      <c r="AW1" s="144"/>
      <c r="AX1" s="144"/>
      <c r="AY1" s="144"/>
      <c r="AZ1" s="144"/>
      <c r="BA1" s="15"/>
    </row>
    <row r="2" spans="1:88" ht="21.75" customHeight="1" x14ac:dyDescent="0.3">
      <c r="A2" s="8"/>
      <c r="B2" s="87"/>
      <c r="C2" s="55"/>
      <c r="D2" s="16"/>
      <c r="E2" s="10"/>
      <c r="F2" s="11"/>
      <c r="G2" s="12"/>
      <c r="H2" s="12"/>
      <c r="I2" s="12"/>
      <c r="J2" s="11"/>
      <c r="K2" s="12"/>
      <c r="L2" s="12"/>
      <c r="M2" s="12"/>
      <c r="N2" s="25"/>
      <c r="O2" s="12"/>
      <c r="P2" s="33"/>
      <c r="Q2" s="12"/>
      <c r="R2" s="11"/>
      <c r="S2" s="12"/>
      <c r="T2" s="12"/>
      <c r="U2" s="12"/>
      <c r="V2" s="11"/>
      <c r="W2" s="12"/>
      <c r="X2" s="68"/>
      <c r="Y2" s="12"/>
      <c r="Z2" s="11"/>
      <c r="AA2" s="12"/>
      <c r="AB2" s="12"/>
      <c r="AC2" s="12"/>
      <c r="AD2" s="11"/>
      <c r="AE2" s="12"/>
      <c r="AF2" s="12"/>
      <c r="AG2" s="12"/>
      <c r="AH2" s="11"/>
      <c r="AI2" s="12"/>
      <c r="AJ2" s="33"/>
      <c r="AK2" s="12"/>
      <c r="AL2" s="11"/>
      <c r="AM2" s="12"/>
      <c r="AN2" s="12"/>
      <c r="AO2" s="12"/>
      <c r="AP2" s="12"/>
      <c r="AQ2" s="12"/>
      <c r="AT2" s="15"/>
      <c r="AU2" s="15"/>
      <c r="AV2" s="15"/>
      <c r="AW2" s="15"/>
      <c r="AX2" s="14"/>
      <c r="AZ2" s="15"/>
      <c r="BA2" s="15"/>
    </row>
    <row r="3" spans="1:88" ht="46.5" x14ac:dyDescent="0.7">
      <c r="A3" s="8"/>
      <c r="B3" s="140" t="s">
        <v>293</v>
      </c>
      <c r="C3" s="141"/>
      <c r="D3" s="142"/>
      <c r="E3" s="10"/>
      <c r="F3" s="11"/>
      <c r="G3" s="12"/>
      <c r="H3" s="12"/>
      <c r="I3" s="12"/>
      <c r="J3" s="11"/>
      <c r="K3" s="12"/>
      <c r="L3" s="12"/>
      <c r="M3" s="12"/>
      <c r="N3" s="11"/>
      <c r="O3" s="12"/>
      <c r="P3" s="12"/>
      <c r="Q3" s="12"/>
      <c r="R3" s="11"/>
      <c r="S3" s="12"/>
      <c r="T3" s="12"/>
      <c r="U3" s="12"/>
      <c r="V3" s="11"/>
      <c r="W3" s="12"/>
      <c r="X3" s="12"/>
      <c r="Y3" s="12"/>
      <c r="Z3" s="11"/>
      <c r="AA3" s="33"/>
      <c r="AB3" s="33"/>
      <c r="AC3" s="12"/>
      <c r="AD3" s="11"/>
      <c r="AE3" s="12"/>
      <c r="AF3" s="12"/>
      <c r="AG3" s="12"/>
      <c r="AH3" s="11"/>
      <c r="AI3" s="12"/>
      <c r="AJ3" s="12"/>
      <c r="AK3" s="12"/>
      <c r="AL3" s="11"/>
      <c r="AM3" s="12"/>
      <c r="AN3" s="12"/>
      <c r="AO3" s="12"/>
      <c r="AP3" s="12"/>
      <c r="AQ3" s="12"/>
      <c r="AT3" s="15"/>
      <c r="AU3" s="15"/>
      <c r="AV3" s="15"/>
      <c r="AW3" s="15"/>
      <c r="AX3" s="15"/>
      <c r="AY3" s="15"/>
      <c r="BA3" s="8"/>
    </row>
    <row r="4" spans="1:88" ht="15.75" x14ac:dyDescent="0.25">
      <c r="A4" s="45"/>
      <c r="B4" s="46"/>
      <c r="C4" s="45"/>
      <c r="D4" s="47"/>
      <c r="E4" s="48"/>
      <c r="F4" s="44"/>
      <c r="G4" s="49"/>
      <c r="H4" s="49"/>
      <c r="I4" s="49"/>
      <c r="J4" s="44"/>
      <c r="K4" s="49"/>
      <c r="L4" s="49"/>
      <c r="M4" s="49"/>
      <c r="N4" s="44"/>
      <c r="O4" s="49"/>
      <c r="P4" s="49"/>
      <c r="Q4" s="49"/>
      <c r="R4" s="44"/>
      <c r="S4" s="49"/>
      <c r="T4" s="49"/>
      <c r="U4" s="49"/>
      <c r="V4" s="44"/>
      <c r="W4" s="49"/>
      <c r="X4" s="49"/>
      <c r="Y4" s="49"/>
      <c r="Z4" s="44"/>
      <c r="AA4" s="49"/>
      <c r="AB4" s="49"/>
      <c r="AC4" s="49"/>
      <c r="AD4" s="44"/>
      <c r="AE4" s="49"/>
      <c r="AF4" s="49"/>
      <c r="AG4" s="49"/>
      <c r="AH4" s="44"/>
      <c r="AI4" s="49"/>
      <c r="AJ4" s="49"/>
      <c r="AK4" s="49"/>
      <c r="AL4" s="44"/>
      <c r="AM4" s="49"/>
      <c r="AN4" s="49"/>
      <c r="AO4" s="49"/>
      <c r="AP4" s="49"/>
      <c r="AQ4" s="49"/>
      <c r="AR4" s="40"/>
      <c r="AS4" s="50"/>
      <c r="AT4" s="15"/>
      <c r="AU4" s="15"/>
      <c r="AV4" s="15"/>
      <c r="AW4" s="15"/>
      <c r="AX4" s="15"/>
      <c r="AY4" s="15"/>
      <c r="AZ4" s="54"/>
      <c r="BA4" s="8"/>
    </row>
    <row r="5" spans="1:88" x14ac:dyDescent="0.25">
      <c r="A5" s="149" t="s">
        <v>43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8"/>
    </row>
    <row r="6" spans="1:88" ht="57" customHeight="1" x14ac:dyDescent="0.25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8"/>
    </row>
    <row r="7" spans="1:88" ht="103.5" customHeight="1" x14ac:dyDescent="0.25">
      <c r="A7" s="177" t="s">
        <v>4</v>
      </c>
      <c r="B7" s="169" t="s">
        <v>6</v>
      </c>
      <c r="C7" s="169"/>
      <c r="D7" s="151"/>
      <c r="E7" s="169" t="s">
        <v>0</v>
      </c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90"/>
      <c r="AP7" s="162" t="s">
        <v>30</v>
      </c>
      <c r="AQ7" s="162" t="s">
        <v>31</v>
      </c>
      <c r="AR7" s="169" t="s">
        <v>1</v>
      </c>
      <c r="AS7" s="151"/>
      <c r="AT7" s="151"/>
      <c r="AU7" s="152" t="s">
        <v>26</v>
      </c>
      <c r="AV7" s="152" t="s">
        <v>27</v>
      </c>
      <c r="AW7" s="162" t="s">
        <v>28</v>
      </c>
      <c r="AX7" s="162" t="s">
        <v>29</v>
      </c>
      <c r="AY7" s="162" t="s">
        <v>25</v>
      </c>
      <c r="AZ7" s="167" t="s">
        <v>24</v>
      </c>
      <c r="BA7" s="13"/>
      <c r="BB7" s="13"/>
      <c r="BC7" s="13"/>
      <c r="BD7" s="13"/>
    </row>
    <row r="8" spans="1:88" ht="35.25" thickBot="1" x14ac:dyDescent="0.3">
      <c r="A8" s="177"/>
      <c r="B8" s="169" t="s">
        <v>5</v>
      </c>
      <c r="C8" s="170" t="s">
        <v>267</v>
      </c>
      <c r="D8" s="175" t="s">
        <v>269</v>
      </c>
      <c r="E8" s="173" t="s">
        <v>2</v>
      </c>
      <c r="F8" s="164" t="s">
        <v>3</v>
      </c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6"/>
      <c r="AP8" s="172"/>
      <c r="AQ8" s="172"/>
      <c r="AR8" s="150" t="s">
        <v>42</v>
      </c>
      <c r="AS8" s="150" t="s">
        <v>15</v>
      </c>
      <c r="AT8" s="150" t="s">
        <v>291</v>
      </c>
      <c r="AU8" s="152"/>
      <c r="AV8" s="152"/>
      <c r="AW8" s="163"/>
      <c r="AX8" s="163"/>
      <c r="AY8" s="163"/>
      <c r="AZ8" s="168"/>
      <c r="BA8" s="13"/>
      <c r="BB8" s="13"/>
      <c r="BC8" s="13"/>
      <c r="BD8" s="13"/>
    </row>
    <row r="9" spans="1:88" ht="409.5" x14ac:dyDescent="0.25">
      <c r="A9" s="177"/>
      <c r="B9" s="151"/>
      <c r="C9" s="171"/>
      <c r="D9" s="176"/>
      <c r="E9" s="174"/>
      <c r="F9" s="91" t="s">
        <v>268</v>
      </c>
      <c r="G9" s="92" t="s">
        <v>26</v>
      </c>
      <c r="H9" s="92" t="s">
        <v>27</v>
      </c>
      <c r="I9" s="92" t="s">
        <v>32</v>
      </c>
      <c r="J9" s="91" t="s">
        <v>7</v>
      </c>
      <c r="K9" s="92" t="s">
        <v>26</v>
      </c>
      <c r="L9" s="92" t="s">
        <v>27</v>
      </c>
      <c r="M9" s="92" t="s">
        <v>32</v>
      </c>
      <c r="N9" s="91" t="s">
        <v>8</v>
      </c>
      <c r="O9" s="92" t="s">
        <v>26</v>
      </c>
      <c r="P9" s="92" t="s">
        <v>27</v>
      </c>
      <c r="Q9" s="92" t="s">
        <v>32</v>
      </c>
      <c r="R9" s="91" t="s">
        <v>9</v>
      </c>
      <c r="S9" s="92" t="s">
        <v>26</v>
      </c>
      <c r="T9" s="92" t="s">
        <v>27</v>
      </c>
      <c r="U9" s="92" t="s">
        <v>32</v>
      </c>
      <c r="V9" s="91" t="s">
        <v>10</v>
      </c>
      <c r="W9" s="92" t="s">
        <v>26</v>
      </c>
      <c r="X9" s="92" t="s">
        <v>27</v>
      </c>
      <c r="Y9" s="92" t="s">
        <v>32</v>
      </c>
      <c r="Z9" s="91" t="s">
        <v>11</v>
      </c>
      <c r="AA9" s="92" t="s">
        <v>26</v>
      </c>
      <c r="AB9" s="92" t="s">
        <v>27</v>
      </c>
      <c r="AC9" s="92" t="s">
        <v>32</v>
      </c>
      <c r="AD9" s="91" t="s">
        <v>12</v>
      </c>
      <c r="AE9" s="92" t="s">
        <v>26</v>
      </c>
      <c r="AF9" s="92" t="s">
        <v>27</v>
      </c>
      <c r="AG9" s="92" t="s">
        <v>32</v>
      </c>
      <c r="AH9" s="91" t="s">
        <v>13</v>
      </c>
      <c r="AI9" s="92" t="s">
        <v>26</v>
      </c>
      <c r="AJ9" s="92" t="s">
        <v>27</v>
      </c>
      <c r="AK9" s="92" t="s">
        <v>32</v>
      </c>
      <c r="AL9" s="91" t="s">
        <v>14</v>
      </c>
      <c r="AM9" s="92" t="s">
        <v>23</v>
      </c>
      <c r="AN9" s="92" t="s">
        <v>22</v>
      </c>
      <c r="AO9" s="93" t="s">
        <v>32</v>
      </c>
      <c r="AP9" s="172"/>
      <c r="AQ9" s="172"/>
      <c r="AR9" s="151"/>
      <c r="AS9" s="151"/>
      <c r="AT9" s="151"/>
      <c r="AU9" s="152"/>
      <c r="AV9" s="152"/>
      <c r="AW9" s="163"/>
      <c r="AX9" s="163"/>
      <c r="AY9" s="163"/>
      <c r="AZ9" s="168"/>
      <c r="BA9" s="13"/>
      <c r="BB9" s="13"/>
      <c r="BC9" s="13"/>
      <c r="BD9" s="13"/>
      <c r="CA9" s="8"/>
      <c r="CB9" s="8"/>
      <c r="CC9" s="8"/>
      <c r="CD9" s="8"/>
      <c r="CE9" s="8"/>
      <c r="CF9" s="8"/>
      <c r="CG9" s="8"/>
      <c r="CH9" s="8"/>
      <c r="CI9" s="8"/>
    </row>
    <row r="10" spans="1:88" s="61" customFormat="1" ht="69" x14ac:dyDescent="0.25">
      <c r="A10" s="94">
        <v>1</v>
      </c>
      <c r="B10" s="95">
        <v>2</v>
      </c>
      <c r="C10" s="95">
        <v>3</v>
      </c>
      <c r="D10" s="94">
        <v>4</v>
      </c>
      <c r="E10" s="95">
        <v>5</v>
      </c>
      <c r="F10" s="94">
        <v>6</v>
      </c>
      <c r="G10" s="95">
        <v>7</v>
      </c>
      <c r="H10" s="94">
        <v>8</v>
      </c>
      <c r="I10" s="95" t="s">
        <v>33</v>
      </c>
      <c r="J10" s="94">
        <v>10</v>
      </c>
      <c r="K10" s="95">
        <v>11</v>
      </c>
      <c r="L10" s="94">
        <v>12</v>
      </c>
      <c r="M10" s="95" t="s">
        <v>34</v>
      </c>
      <c r="N10" s="94">
        <v>14</v>
      </c>
      <c r="O10" s="95">
        <v>15</v>
      </c>
      <c r="P10" s="94">
        <v>16</v>
      </c>
      <c r="Q10" s="95" t="s">
        <v>35</v>
      </c>
      <c r="R10" s="94">
        <v>18</v>
      </c>
      <c r="S10" s="95">
        <v>19</v>
      </c>
      <c r="T10" s="94">
        <v>20</v>
      </c>
      <c r="U10" s="95" t="s">
        <v>36</v>
      </c>
      <c r="V10" s="94">
        <v>22</v>
      </c>
      <c r="W10" s="95">
        <v>23</v>
      </c>
      <c r="X10" s="94">
        <v>24</v>
      </c>
      <c r="Y10" s="95" t="s">
        <v>37</v>
      </c>
      <c r="Z10" s="94">
        <v>26</v>
      </c>
      <c r="AA10" s="95">
        <v>27</v>
      </c>
      <c r="AB10" s="94">
        <v>28</v>
      </c>
      <c r="AC10" s="95" t="s">
        <v>38</v>
      </c>
      <c r="AD10" s="94">
        <v>30</v>
      </c>
      <c r="AE10" s="95">
        <v>31</v>
      </c>
      <c r="AF10" s="94">
        <v>32</v>
      </c>
      <c r="AG10" s="95" t="s">
        <v>39</v>
      </c>
      <c r="AH10" s="94">
        <v>34</v>
      </c>
      <c r="AI10" s="95">
        <v>35</v>
      </c>
      <c r="AJ10" s="94">
        <v>36</v>
      </c>
      <c r="AK10" s="95" t="s">
        <v>40</v>
      </c>
      <c r="AL10" s="94">
        <v>38</v>
      </c>
      <c r="AM10" s="95">
        <v>39</v>
      </c>
      <c r="AN10" s="94">
        <v>40</v>
      </c>
      <c r="AO10" s="95" t="s">
        <v>41</v>
      </c>
      <c r="AP10" s="94">
        <v>42</v>
      </c>
      <c r="AQ10" s="95" t="s">
        <v>294</v>
      </c>
      <c r="AR10" s="94">
        <v>44</v>
      </c>
      <c r="AS10" s="95">
        <v>45</v>
      </c>
      <c r="AT10" s="94">
        <v>46</v>
      </c>
      <c r="AU10" s="95">
        <v>47</v>
      </c>
      <c r="AV10" s="94">
        <v>48</v>
      </c>
      <c r="AW10" s="95" t="s">
        <v>262</v>
      </c>
      <c r="AX10" s="94" t="s">
        <v>259</v>
      </c>
      <c r="AY10" s="95" t="s">
        <v>260</v>
      </c>
      <c r="AZ10" s="96" t="s">
        <v>261</v>
      </c>
      <c r="BA10" s="75"/>
      <c r="BB10" s="13"/>
      <c r="BC10" s="13"/>
      <c r="BD10" s="13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71"/>
    </row>
    <row r="11" spans="1:88" s="35" customFormat="1" ht="66" customHeight="1" x14ac:dyDescent="0.35">
      <c r="A11" s="147" t="s">
        <v>54</v>
      </c>
      <c r="B11" s="148"/>
      <c r="C11" s="148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3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D11" s="34"/>
      <c r="CE11" s="34"/>
      <c r="CF11" s="34"/>
      <c r="CG11" s="34"/>
      <c r="CH11" s="34"/>
      <c r="CI11" s="34"/>
    </row>
    <row r="12" spans="1:88" s="4" customFormat="1" ht="228.75" outlineLevel="1" x14ac:dyDescent="0.25">
      <c r="A12" s="97">
        <v>1</v>
      </c>
      <c r="B12" s="98" t="s">
        <v>16</v>
      </c>
      <c r="C12" s="125" t="s">
        <v>44</v>
      </c>
      <c r="D12" s="99" t="s">
        <v>19</v>
      </c>
      <c r="E12" s="100">
        <f t="shared" ref="E12:E29" si="0">F12+J12+N12+R12+V12+Z12+AD12+AH12+AL12</f>
        <v>284.60000000000002</v>
      </c>
      <c r="F12" s="101">
        <v>0</v>
      </c>
      <c r="G12" s="101">
        <v>0</v>
      </c>
      <c r="H12" s="101">
        <v>0</v>
      </c>
      <c r="I12" s="101">
        <f>H12*F12</f>
        <v>0</v>
      </c>
      <c r="J12" s="100">
        <v>7.8</v>
      </c>
      <c r="K12" s="101">
        <f>L12/1.18</f>
        <v>11.864406779661017</v>
      </c>
      <c r="L12" s="101">
        <v>14</v>
      </c>
      <c r="M12" s="101">
        <f>L12*J12</f>
        <v>109.2</v>
      </c>
      <c r="N12" s="102">
        <v>72.5</v>
      </c>
      <c r="O12" s="101">
        <f>P12/1.18</f>
        <v>4.2372881355932206</v>
      </c>
      <c r="P12" s="101">
        <v>5</v>
      </c>
      <c r="Q12" s="101">
        <f>P12*N12</f>
        <v>362.5</v>
      </c>
      <c r="R12" s="100">
        <v>0</v>
      </c>
      <c r="S12" s="101">
        <f>T12/1.18</f>
        <v>14.40677966101695</v>
      </c>
      <c r="T12" s="101">
        <v>17</v>
      </c>
      <c r="U12" s="101">
        <f>T12*R12</f>
        <v>0</v>
      </c>
      <c r="V12" s="101">
        <v>0</v>
      </c>
      <c r="W12" s="101">
        <f>X12/1.18</f>
        <v>5.9322033898305087</v>
      </c>
      <c r="X12" s="101">
        <v>7</v>
      </c>
      <c r="Y12" s="101">
        <f>X12*V12</f>
        <v>0</v>
      </c>
      <c r="Z12" s="100">
        <v>105.9</v>
      </c>
      <c r="AA12" s="101">
        <f>AB12/1.18</f>
        <v>5.5084745762711869</v>
      </c>
      <c r="AB12" s="101">
        <v>6.5</v>
      </c>
      <c r="AC12" s="101">
        <f>AB12*Z12</f>
        <v>688.35</v>
      </c>
      <c r="AD12" s="101">
        <v>0</v>
      </c>
      <c r="AE12" s="101"/>
      <c r="AF12" s="101"/>
      <c r="AG12" s="101">
        <f>AF12*AD12</f>
        <v>0</v>
      </c>
      <c r="AH12" s="102">
        <v>84.3</v>
      </c>
      <c r="AI12" s="101">
        <f>AJ12/1.18</f>
        <v>7.6271186440677967</v>
      </c>
      <c r="AJ12" s="101">
        <v>9</v>
      </c>
      <c r="AK12" s="101">
        <f>AJ12*AH12</f>
        <v>758.69999999999993</v>
      </c>
      <c r="AL12" s="102">
        <v>14.1</v>
      </c>
      <c r="AM12" s="101">
        <f>AN12/1.18</f>
        <v>11.864406779661017</v>
      </c>
      <c r="AN12" s="101">
        <v>14</v>
      </c>
      <c r="AO12" s="101">
        <f>AN12*AL12</f>
        <v>197.4</v>
      </c>
      <c r="AP12" s="101">
        <f>AQ12/1.18</f>
        <v>1793.3474576271187</v>
      </c>
      <c r="AQ12" s="101">
        <f t="shared" ref="AQ12:AQ29" si="1">I12+M12+Q12+U12+Y12+AC12+AG12+AK12+AO12</f>
        <v>2116.15</v>
      </c>
      <c r="AR12" s="102">
        <v>484</v>
      </c>
      <c r="AS12" s="101" t="s">
        <v>270</v>
      </c>
      <c r="AT12" s="103">
        <v>0</v>
      </c>
      <c r="AU12" s="103">
        <f>AV12/1.18</f>
        <v>5.0847457627118651</v>
      </c>
      <c r="AV12" s="103">
        <v>6</v>
      </c>
      <c r="AW12" s="103">
        <f>AU12*AR12</f>
        <v>2461.0169491525426</v>
      </c>
      <c r="AX12" s="103">
        <f>AV12*AR12</f>
        <v>2904</v>
      </c>
      <c r="AY12" s="104">
        <f t="shared" ref="AY12:AY70" si="2">AP12+AW12</f>
        <v>4254.3644067796613</v>
      </c>
      <c r="AZ12" s="105">
        <f t="shared" ref="AZ12:AZ70" si="3">AQ12+AX12</f>
        <v>5020.1499999999996</v>
      </c>
      <c r="BA12" s="9"/>
      <c r="BB12" s="9"/>
      <c r="BC12" s="9"/>
      <c r="BD12" s="9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</row>
    <row r="13" spans="1:88" s="4" customFormat="1" ht="228.75" outlineLevel="1" x14ac:dyDescent="0.25">
      <c r="A13" s="97">
        <f>A12+1</f>
        <v>2</v>
      </c>
      <c r="B13" s="128" t="s">
        <v>16</v>
      </c>
      <c r="C13" s="125" t="s">
        <v>72</v>
      </c>
      <c r="D13" s="99" t="s">
        <v>19</v>
      </c>
      <c r="E13" s="100">
        <f t="shared" si="0"/>
        <v>1395.5</v>
      </c>
      <c r="F13" s="101">
        <v>0</v>
      </c>
      <c r="G13" s="101">
        <v>0</v>
      </c>
      <c r="H13" s="101">
        <v>0</v>
      </c>
      <c r="I13" s="101">
        <f t="shared" ref="I13:I68" si="4">H13*F13</f>
        <v>0</v>
      </c>
      <c r="J13" s="100">
        <v>241.2</v>
      </c>
      <c r="K13" s="101">
        <f t="shared" ref="K13:K66" si="5">L13/1.18</f>
        <v>11.864406779661017</v>
      </c>
      <c r="L13" s="101">
        <v>14</v>
      </c>
      <c r="M13" s="101">
        <f t="shared" ref="M13:M68" si="6">L13*J13</f>
        <v>3376.7999999999997</v>
      </c>
      <c r="N13" s="102">
        <v>306</v>
      </c>
      <c r="O13" s="101">
        <f t="shared" ref="O13:O68" si="7">P13/1.18</f>
        <v>4.2372881355932206</v>
      </c>
      <c r="P13" s="101">
        <v>5</v>
      </c>
      <c r="Q13" s="101">
        <f t="shared" ref="Q13:Q68" si="8">P13*N13</f>
        <v>1530</v>
      </c>
      <c r="R13" s="100">
        <v>21.2</v>
      </c>
      <c r="S13" s="101">
        <f t="shared" ref="S13:S68" si="9">T13/1.18</f>
        <v>14.40677966101695</v>
      </c>
      <c r="T13" s="101">
        <v>17</v>
      </c>
      <c r="U13" s="101">
        <f t="shared" ref="U13:U68" si="10">T13*R13</f>
        <v>360.4</v>
      </c>
      <c r="V13" s="101">
        <v>32.4</v>
      </c>
      <c r="W13" s="101">
        <f>X13/1.18</f>
        <v>5.9322033898305087</v>
      </c>
      <c r="X13" s="101">
        <v>7</v>
      </c>
      <c r="Y13" s="101">
        <f t="shared" ref="Y13:Y68" si="11">X13*V13</f>
        <v>226.79999999999998</v>
      </c>
      <c r="Z13" s="100">
        <v>216.4</v>
      </c>
      <c r="AA13" s="101">
        <f t="shared" ref="AA13:AA14" si="12">AB13/1.18</f>
        <v>5.5084745762711869</v>
      </c>
      <c r="AB13" s="101">
        <v>6.5</v>
      </c>
      <c r="AC13" s="101">
        <f t="shared" ref="AC13:AC68" si="13">AB13*Z13</f>
        <v>1406.6000000000001</v>
      </c>
      <c r="AD13" s="101">
        <v>0</v>
      </c>
      <c r="AE13" s="101"/>
      <c r="AF13" s="101"/>
      <c r="AG13" s="101">
        <f t="shared" ref="AG13:AG68" si="14">AF13*AD13</f>
        <v>0</v>
      </c>
      <c r="AH13" s="102">
        <v>530.9</v>
      </c>
      <c r="AI13" s="101">
        <f t="shared" ref="AI13:AI68" si="15">AJ13/1.18</f>
        <v>7.6271186440677967</v>
      </c>
      <c r="AJ13" s="101">
        <v>9</v>
      </c>
      <c r="AK13" s="101">
        <f t="shared" ref="AK13:AK68" si="16">AJ13*AH13</f>
        <v>4778.0999999999995</v>
      </c>
      <c r="AL13" s="102">
        <v>47.4</v>
      </c>
      <c r="AM13" s="101">
        <f t="shared" ref="AM13:AM68" si="17">AN13/1.18</f>
        <v>11.864406779661017</v>
      </c>
      <c r="AN13" s="101">
        <v>14</v>
      </c>
      <c r="AO13" s="101">
        <f t="shared" ref="AO13:AO68" si="18">AN13*AL13</f>
        <v>663.6</v>
      </c>
      <c r="AP13" s="101">
        <f t="shared" ref="AP13:AP71" si="19">AQ13/1.18</f>
        <v>10459.576271186441</v>
      </c>
      <c r="AQ13" s="101">
        <f t="shared" si="1"/>
        <v>12342.3</v>
      </c>
      <c r="AR13" s="102">
        <v>1801</v>
      </c>
      <c r="AS13" s="101" t="s">
        <v>270</v>
      </c>
      <c r="AT13" s="103">
        <v>0</v>
      </c>
      <c r="AU13" s="103">
        <f t="shared" ref="AU13:AU41" si="20">AV13/1.18</f>
        <v>5.0847457627118651</v>
      </c>
      <c r="AV13" s="103">
        <v>6</v>
      </c>
      <c r="AW13" s="103">
        <f>AU13*AR13</f>
        <v>9157.6271186440681</v>
      </c>
      <c r="AX13" s="103">
        <f t="shared" ref="AX13:AX68" si="21">AV13*AR13</f>
        <v>10806</v>
      </c>
      <c r="AY13" s="104">
        <f t="shared" si="2"/>
        <v>19617.203389830509</v>
      </c>
      <c r="AZ13" s="105">
        <f t="shared" si="3"/>
        <v>23148.3</v>
      </c>
      <c r="BA13" s="9"/>
      <c r="BB13" s="9"/>
      <c r="BC13" s="9"/>
      <c r="BD13" s="9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</row>
    <row r="14" spans="1:88" s="40" customFormat="1" ht="228.75" outlineLevel="1" x14ac:dyDescent="0.25">
      <c r="A14" s="97">
        <f>A13+1</f>
        <v>3</v>
      </c>
      <c r="B14" s="98" t="s">
        <v>16</v>
      </c>
      <c r="C14" s="125" t="s">
        <v>45</v>
      </c>
      <c r="D14" s="99" t="s">
        <v>19</v>
      </c>
      <c r="E14" s="100">
        <f t="shared" si="0"/>
        <v>488.50000000000006</v>
      </c>
      <c r="F14" s="101">
        <v>0</v>
      </c>
      <c r="G14" s="101">
        <v>0</v>
      </c>
      <c r="H14" s="101">
        <v>0</v>
      </c>
      <c r="I14" s="101">
        <f t="shared" si="4"/>
        <v>0</v>
      </c>
      <c r="J14" s="100">
        <f>117.3+197.3</f>
        <v>314.60000000000002</v>
      </c>
      <c r="K14" s="101">
        <f t="shared" si="5"/>
        <v>11.864406779661017</v>
      </c>
      <c r="L14" s="101">
        <v>14</v>
      </c>
      <c r="M14" s="101">
        <f t="shared" si="6"/>
        <v>4404.4000000000005</v>
      </c>
      <c r="N14" s="102">
        <v>0</v>
      </c>
      <c r="O14" s="101">
        <f t="shared" si="7"/>
        <v>4.2372881355932206</v>
      </c>
      <c r="P14" s="101">
        <v>5</v>
      </c>
      <c r="Q14" s="101">
        <f t="shared" si="8"/>
        <v>0</v>
      </c>
      <c r="R14" s="100">
        <v>0</v>
      </c>
      <c r="S14" s="101">
        <f t="shared" si="9"/>
        <v>14.40677966101695</v>
      </c>
      <c r="T14" s="101">
        <v>17</v>
      </c>
      <c r="U14" s="101">
        <f t="shared" si="10"/>
        <v>0</v>
      </c>
      <c r="V14" s="101">
        <v>0</v>
      </c>
      <c r="W14" s="101">
        <f>X14/1.18</f>
        <v>5.9322033898305087</v>
      </c>
      <c r="X14" s="101">
        <v>7</v>
      </c>
      <c r="Y14" s="101">
        <f t="shared" si="11"/>
        <v>0</v>
      </c>
      <c r="Z14" s="100">
        <v>16.8</v>
      </c>
      <c r="AA14" s="101">
        <f t="shared" si="12"/>
        <v>5.5084745762711869</v>
      </c>
      <c r="AB14" s="101">
        <v>6.5</v>
      </c>
      <c r="AC14" s="101">
        <f t="shared" si="13"/>
        <v>109.2</v>
      </c>
      <c r="AD14" s="101">
        <v>0</v>
      </c>
      <c r="AE14" s="101"/>
      <c r="AF14" s="101"/>
      <c r="AG14" s="101">
        <f t="shared" si="14"/>
        <v>0</v>
      </c>
      <c r="AH14" s="102">
        <f>29+20.7+74.4</f>
        <v>124.10000000000001</v>
      </c>
      <c r="AI14" s="101">
        <f t="shared" si="15"/>
        <v>7.6271186440677967</v>
      </c>
      <c r="AJ14" s="101">
        <v>9</v>
      </c>
      <c r="AK14" s="101">
        <f t="shared" si="16"/>
        <v>1116.9000000000001</v>
      </c>
      <c r="AL14" s="102">
        <f>26+7</f>
        <v>33</v>
      </c>
      <c r="AM14" s="101">
        <f t="shared" si="17"/>
        <v>11.864406779661017</v>
      </c>
      <c r="AN14" s="101">
        <v>14</v>
      </c>
      <c r="AO14" s="101">
        <f t="shared" si="18"/>
        <v>462</v>
      </c>
      <c r="AP14" s="101">
        <f t="shared" si="19"/>
        <v>5163.1355932203396</v>
      </c>
      <c r="AQ14" s="101">
        <f t="shared" si="1"/>
        <v>6092.5</v>
      </c>
      <c r="AR14" s="102">
        <v>0</v>
      </c>
      <c r="AS14" s="101" t="s">
        <v>270</v>
      </c>
      <c r="AT14" s="103">
        <v>0</v>
      </c>
      <c r="AU14" s="103">
        <f t="shared" si="20"/>
        <v>5.0847457627118651</v>
      </c>
      <c r="AV14" s="103">
        <v>6</v>
      </c>
      <c r="AW14" s="103">
        <f t="shared" ref="AW14" si="22">AU14*AR14</f>
        <v>0</v>
      </c>
      <c r="AX14" s="103">
        <f t="shared" si="21"/>
        <v>0</v>
      </c>
      <c r="AY14" s="104">
        <f t="shared" si="2"/>
        <v>5163.1355932203396</v>
      </c>
      <c r="AZ14" s="105">
        <f t="shared" si="3"/>
        <v>6092.5</v>
      </c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</row>
    <row r="15" spans="1:88" s="4" customFormat="1" ht="228.75" outlineLevel="1" x14ac:dyDescent="0.25">
      <c r="A15" s="97">
        <f>A14+1</f>
        <v>4</v>
      </c>
      <c r="B15" s="98" t="s">
        <v>16</v>
      </c>
      <c r="C15" s="125" t="s">
        <v>46</v>
      </c>
      <c r="D15" s="99" t="s">
        <v>19</v>
      </c>
      <c r="E15" s="100">
        <f t="shared" si="0"/>
        <v>2310.8999999999996</v>
      </c>
      <c r="F15" s="101">
        <v>0</v>
      </c>
      <c r="G15" s="101">
        <v>0</v>
      </c>
      <c r="H15" s="101">
        <v>0</v>
      </c>
      <c r="I15" s="101">
        <f t="shared" si="4"/>
        <v>0</v>
      </c>
      <c r="J15" s="100">
        <v>269</v>
      </c>
      <c r="K15" s="101">
        <f t="shared" si="5"/>
        <v>11.864406779661017</v>
      </c>
      <c r="L15" s="101">
        <v>14</v>
      </c>
      <c r="M15" s="101">
        <f t="shared" si="6"/>
        <v>3766</v>
      </c>
      <c r="N15" s="102">
        <v>278.2</v>
      </c>
      <c r="O15" s="101">
        <f t="shared" si="7"/>
        <v>4.2372881355932206</v>
      </c>
      <c r="P15" s="101">
        <v>5</v>
      </c>
      <c r="Q15" s="101">
        <f t="shared" si="8"/>
        <v>1391</v>
      </c>
      <c r="R15" s="100">
        <v>0</v>
      </c>
      <c r="S15" s="101">
        <f t="shared" si="9"/>
        <v>14.40677966101695</v>
      </c>
      <c r="T15" s="101">
        <v>17</v>
      </c>
      <c r="U15" s="101">
        <f t="shared" si="10"/>
        <v>0</v>
      </c>
      <c r="V15" s="101">
        <v>253.5</v>
      </c>
      <c r="W15" s="101">
        <f>X15/1.18</f>
        <v>5.9322033898305087</v>
      </c>
      <c r="X15" s="101">
        <v>7</v>
      </c>
      <c r="Y15" s="101">
        <f t="shared" si="11"/>
        <v>1774.5</v>
      </c>
      <c r="Z15" s="100">
        <v>919.5</v>
      </c>
      <c r="AA15" s="101">
        <f t="shared" ref="AA15:AA68" si="23">AB15/1.18</f>
        <v>5.5084745762711869</v>
      </c>
      <c r="AB15" s="101">
        <v>6.5</v>
      </c>
      <c r="AC15" s="101">
        <f t="shared" si="13"/>
        <v>5976.75</v>
      </c>
      <c r="AD15" s="101">
        <v>0</v>
      </c>
      <c r="AE15" s="101"/>
      <c r="AF15" s="101"/>
      <c r="AG15" s="101">
        <f t="shared" si="14"/>
        <v>0</v>
      </c>
      <c r="AH15" s="102">
        <v>555.5</v>
      </c>
      <c r="AI15" s="101">
        <f t="shared" si="15"/>
        <v>7.6271186440677967</v>
      </c>
      <c r="AJ15" s="101">
        <v>9</v>
      </c>
      <c r="AK15" s="101">
        <f t="shared" si="16"/>
        <v>4999.5</v>
      </c>
      <c r="AL15" s="102">
        <v>35.200000000000003</v>
      </c>
      <c r="AM15" s="101">
        <f t="shared" si="17"/>
        <v>11.864406779661017</v>
      </c>
      <c r="AN15" s="101">
        <v>14</v>
      </c>
      <c r="AO15" s="101">
        <f t="shared" si="18"/>
        <v>492.80000000000007</v>
      </c>
      <c r="AP15" s="101">
        <f t="shared" si="19"/>
        <v>15593.686440677966</v>
      </c>
      <c r="AQ15" s="101">
        <f t="shared" si="1"/>
        <v>18400.55</v>
      </c>
      <c r="AR15" s="102">
        <f>1733.2</f>
        <v>1733.2</v>
      </c>
      <c r="AS15" s="101" t="s">
        <v>270</v>
      </c>
      <c r="AT15" s="103">
        <v>0</v>
      </c>
      <c r="AU15" s="103">
        <f t="shared" si="20"/>
        <v>5.0847457627118651</v>
      </c>
      <c r="AV15" s="103">
        <v>6</v>
      </c>
      <c r="AW15" s="103">
        <f t="shared" ref="AW15:AW69" si="24">AU15*AR15</f>
        <v>8812.8813559322043</v>
      </c>
      <c r="AX15" s="103">
        <f t="shared" si="21"/>
        <v>10399.200000000001</v>
      </c>
      <c r="AY15" s="104">
        <f t="shared" si="2"/>
        <v>24406.567796610172</v>
      </c>
      <c r="AZ15" s="105">
        <f t="shared" si="3"/>
        <v>28799.75</v>
      </c>
      <c r="BA15" s="9"/>
      <c r="BB15" s="9"/>
      <c r="BC15" s="9"/>
      <c r="BD15" s="9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</row>
    <row r="16" spans="1:88" s="4" customFormat="1" ht="228.75" outlineLevel="1" x14ac:dyDescent="0.25">
      <c r="A16" s="97">
        <f t="shared" ref="A16:A28" si="25">A15+1</f>
        <v>5</v>
      </c>
      <c r="B16" s="98" t="s">
        <v>16</v>
      </c>
      <c r="C16" s="125" t="s">
        <v>56</v>
      </c>
      <c r="D16" s="99" t="s">
        <v>19</v>
      </c>
      <c r="E16" s="100">
        <f t="shared" si="0"/>
        <v>2663.7999999999997</v>
      </c>
      <c r="F16" s="101">
        <v>0</v>
      </c>
      <c r="G16" s="101">
        <v>0</v>
      </c>
      <c r="H16" s="101">
        <v>0</v>
      </c>
      <c r="I16" s="101">
        <f t="shared" si="4"/>
        <v>0</v>
      </c>
      <c r="J16" s="100">
        <v>1409.1</v>
      </c>
      <c r="K16" s="101">
        <f t="shared" si="5"/>
        <v>11.864406779661017</v>
      </c>
      <c r="L16" s="101">
        <v>14</v>
      </c>
      <c r="M16" s="101">
        <f t="shared" si="6"/>
        <v>19727.399999999998</v>
      </c>
      <c r="N16" s="102">
        <v>319.89999999999998</v>
      </c>
      <c r="O16" s="101">
        <f t="shared" si="7"/>
        <v>4.2372881355932206</v>
      </c>
      <c r="P16" s="101">
        <v>5</v>
      </c>
      <c r="Q16" s="101">
        <f t="shared" si="8"/>
        <v>1599.5</v>
      </c>
      <c r="R16" s="100">
        <v>0</v>
      </c>
      <c r="S16" s="101">
        <f t="shared" si="9"/>
        <v>14.40677966101695</v>
      </c>
      <c r="T16" s="101">
        <v>17</v>
      </c>
      <c r="U16" s="101">
        <f t="shared" si="10"/>
        <v>0</v>
      </c>
      <c r="V16" s="101">
        <v>0</v>
      </c>
      <c r="W16" s="101">
        <f t="shared" ref="W16" si="26">X16/1.18</f>
        <v>5.9322033898305087</v>
      </c>
      <c r="X16" s="101">
        <v>7</v>
      </c>
      <c r="Y16" s="101">
        <f t="shared" si="11"/>
        <v>0</v>
      </c>
      <c r="Z16" s="100">
        <f>157.6+26+324+324</f>
        <v>831.6</v>
      </c>
      <c r="AA16" s="101">
        <f t="shared" si="23"/>
        <v>5.5084745762711869</v>
      </c>
      <c r="AB16" s="101">
        <v>6.5</v>
      </c>
      <c r="AC16" s="101">
        <f t="shared" si="13"/>
        <v>5405.4000000000005</v>
      </c>
      <c r="AD16" s="101">
        <v>0</v>
      </c>
      <c r="AE16" s="101"/>
      <c r="AF16" s="101"/>
      <c r="AG16" s="101">
        <f t="shared" si="14"/>
        <v>0</v>
      </c>
      <c r="AH16" s="102">
        <v>18</v>
      </c>
      <c r="AI16" s="101">
        <f t="shared" si="15"/>
        <v>7.6271186440677967</v>
      </c>
      <c r="AJ16" s="101">
        <v>9</v>
      </c>
      <c r="AK16" s="101">
        <f t="shared" si="16"/>
        <v>162</v>
      </c>
      <c r="AL16" s="102">
        <f>13.2+72</f>
        <v>85.2</v>
      </c>
      <c r="AM16" s="101">
        <f t="shared" si="17"/>
        <v>11.864406779661017</v>
      </c>
      <c r="AN16" s="101">
        <v>14</v>
      </c>
      <c r="AO16" s="101">
        <f t="shared" si="18"/>
        <v>1192.8</v>
      </c>
      <c r="AP16" s="101">
        <f t="shared" si="19"/>
        <v>23802.627118644068</v>
      </c>
      <c r="AQ16" s="101">
        <f t="shared" si="1"/>
        <v>28087.1</v>
      </c>
      <c r="AR16" s="102">
        <v>1700</v>
      </c>
      <c r="AS16" s="101" t="s">
        <v>270</v>
      </c>
      <c r="AT16" s="103">
        <v>0</v>
      </c>
      <c r="AU16" s="103">
        <f t="shared" si="20"/>
        <v>5.0847457627118651</v>
      </c>
      <c r="AV16" s="103">
        <v>6</v>
      </c>
      <c r="AW16" s="103">
        <f t="shared" si="24"/>
        <v>8644.0677966101703</v>
      </c>
      <c r="AX16" s="103">
        <f t="shared" si="21"/>
        <v>10200</v>
      </c>
      <c r="AY16" s="104">
        <f t="shared" si="2"/>
        <v>32446.694915254237</v>
      </c>
      <c r="AZ16" s="105">
        <f t="shared" si="3"/>
        <v>38287.1</v>
      </c>
      <c r="BA16" s="9"/>
      <c r="BB16" s="9"/>
      <c r="BC16" s="9"/>
      <c r="BD16" s="9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</row>
    <row r="17" spans="1:88" s="4" customFormat="1" ht="228.75" outlineLevel="1" x14ac:dyDescent="0.25">
      <c r="A17" s="132">
        <f t="shared" si="25"/>
        <v>6</v>
      </c>
      <c r="B17" s="128" t="s">
        <v>16</v>
      </c>
      <c r="C17" s="125" t="s">
        <v>47</v>
      </c>
      <c r="D17" s="99" t="s">
        <v>19</v>
      </c>
      <c r="E17" s="100">
        <f t="shared" si="0"/>
        <v>5342.2000000000007</v>
      </c>
      <c r="F17" s="101">
        <v>0</v>
      </c>
      <c r="G17" s="101">
        <v>0</v>
      </c>
      <c r="H17" s="101">
        <v>0</v>
      </c>
      <c r="I17" s="101">
        <f t="shared" si="4"/>
        <v>0</v>
      </c>
      <c r="J17" s="100">
        <v>1188.5</v>
      </c>
      <c r="K17" s="101">
        <f t="shared" si="5"/>
        <v>11.864406779661017</v>
      </c>
      <c r="L17" s="101">
        <v>14</v>
      </c>
      <c r="M17" s="101">
        <f t="shared" si="6"/>
        <v>16639</v>
      </c>
      <c r="N17" s="102">
        <v>805.4</v>
      </c>
      <c r="O17" s="101">
        <f t="shared" si="7"/>
        <v>4.2372881355932206</v>
      </c>
      <c r="P17" s="101">
        <v>5</v>
      </c>
      <c r="Q17" s="101">
        <f t="shared" si="8"/>
        <v>4027</v>
      </c>
      <c r="R17" s="100">
        <v>98.5</v>
      </c>
      <c r="S17" s="101">
        <f t="shared" si="9"/>
        <v>14.40677966101695</v>
      </c>
      <c r="T17" s="101">
        <v>17</v>
      </c>
      <c r="U17" s="101">
        <f t="shared" si="10"/>
        <v>1674.5</v>
      </c>
      <c r="V17" s="101">
        <v>663.2</v>
      </c>
      <c r="W17" s="101">
        <v>4.2</v>
      </c>
      <c r="X17" s="101">
        <v>7</v>
      </c>
      <c r="Y17" s="101">
        <f t="shared" si="11"/>
        <v>4642.4000000000005</v>
      </c>
      <c r="Z17" s="100">
        <v>1000</v>
      </c>
      <c r="AA17" s="101">
        <f t="shared" si="23"/>
        <v>5.5084745762711869</v>
      </c>
      <c r="AB17" s="101">
        <v>6.5</v>
      </c>
      <c r="AC17" s="101">
        <f t="shared" si="13"/>
        <v>6500</v>
      </c>
      <c r="AD17" s="101">
        <v>0</v>
      </c>
      <c r="AE17" s="101"/>
      <c r="AF17" s="101"/>
      <c r="AG17" s="101">
        <f t="shared" si="14"/>
        <v>0</v>
      </c>
      <c r="AH17" s="102">
        <v>1447.1</v>
      </c>
      <c r="AI17" s="101">
        <f t="shared" si="15"/>
        <v>7.6271186440677967</v>
      </c>
      <c r="AJ17" s="101">
        <v>9</v>
      </c>
      <c r="AK17" s="101">
        <f t="shared" si="16"/>
        <v>13023.9</v>
      </c>
      <c r="AL17" s="102">
        <v>139.5</v>
      </c>
      <c r="AM17" s="101">
        <f t="shared" si="17"/>
        <v>11.864406779661017</v>
      </c>
      <c r="AN17" s="101">
        <v>14</v>
      </c>
      <c r="AO17" s="101">
        <f t="shared" si="18"/>
        <v>1953</v>
      </c>
      <c r="AP17" s="101">
        <f t="shared" si="19"/>
        <v>41067.627118644072</v>
      </c>
      <c r="AQ17" s="101">
        <f t="shared" si="1"/>
        <v>48459.8</v>
      </c>
      <c r="AR17" s="102">
        <v>2766.77</v>
      </c>
      <c r="AS17" s="101" t="s">
        <v>270</v>
      </c>
      <c r="AT17" s="103">
        <v>0</v>
      </c>
      <c r="AU17" s="103">
        <f t="shared" si="20"/>
        <v>5.0847457627118651</v>
      </c>
      <c r="AV17" s="103">
        <v>6</v>
      </c>
      <c r="AW17" s="103">
        <f t="shared" si="24"/>
        <v>14068.322033898306</v>
      </c>
      <c r="AX17" s="103">
        <f t="shared" si="21"/>
        <v>16600.62</v>
      </c>
      <c r="AY17" s="104">
        <f t="shared" si="2"/>
        <v>55135.94915254238</v>
      </c>
      <c r="AZ17" s="105">
        <f t="shared" si="3"/>
        <v>65060.42</v>
      </c>
      <c r="BA17" s="9"/>
      <c r="BB17" s="9"/>
      <c r="BC17" s="9"/>
      <c r="BD17" s="9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</row>
    <row r="18" spans="1:88" s="40" customFormat="1" ht="228.75" outlineLevel="1" x14ac:dyDescent="0.25">
      <c r="A18" s="97">
        <f t="shared" si="25"/>
        <v>7</v>
      </c>
      <c r="B18" s="98" t="s">
        <v>16</v>
      </c>
      <c r="C18" s="125" t="s">
        <v>245</v>
      </c>
      <c r="D18" s="99" t="s">
        <v>19</v>
      </c>
      <c r="E18" s="100">
        <f t="shared" si="0"/>
        <v>4563.1000000000004</v>
      </c>
      <c r="F18" s="101">
        <v>0</v>
      </c>
      <c r="G18" s="101">
        <v>0</v>
      </c>
      <c r="H18" s="101">
        <v>0</v>
      </c>
      <c r="I18" s="101">
        <f t="shared" si="4"/>
        <v>0</v>
      </c>
      <c r="J18" s="100">
        <v>1442.3</v>
      </c>
      <c r="K18" s="101">
        <f t="shared" si="5"/>
        <v>11.864406779661017</v>
      </c>
      <c r="L18" s="101">
        <v>14</v>
      </c>
      <c r="M18" s="101">
        <f t="shared" si="6"/>
        <v>20192.2</v>
      </c>
      <c r="N18" s="102">
        <v>0</v>
      </c>
      <c r="O18" s="101">
        <f t="shared" si="7"/>
        <v>4.2372881355932206</v>
      </c>
      <c r="P18" s="101">
        <v>5</v>
      </c>
      <c r="Q18" s="101">
        <f t="shared" si="8"/>
        <v>0</v>
      </c>
      <c r="R18" s="100">
        <v>0</v>
      </c>
      <c r="S18" s="101">
        <f t="shared" si="9"/>
        <v>14.40677966101695</v>
      </c>
      <c r="T18" s="101">
        <v>17</v>
      </c>
      <c r="U18" s="101">
        <f t="shared" si="10"/>
        <v>0</v>
      </c>
      <c r="V18" s="101">
        <f>49.7+45+34.3</f>
        <v>129</v>
      </c>
      <c r="W18" s="101">
        <v>4.2</v>
      </c>
      <c r="X18" s="101">
        <v>7</v>
      </c>
      <c r="Y18" s="101">
        <f t="shared" si="11"/>
        <v>903</v>
      </c>
      <c r="Z18" s="100">
        <f>196.6+6.5+184.7+26.2+50.9+26.4+600.4+149.5+397.2+26.4+38.2+26.4+24.8+26.4+250</f>
        <v>2030.6000000000001</v>
      </c>
      <c r="AA18" s="101">
        <f t="shared" si="23"/>
        <v>5.5084745762711869</v>
      </c>
      <c r="AB18" s="101">
        <v>6.5</v>
      </c>
      <c r="AC18" s="101">
        <f t="shared" si="13"/>
        <v>13198.900000000001</v>
      </c>
      <c r="AD18" s="101">
        <v>0</v>
      </c>
      <c r="AE18" s="101"/>
      <c r="AF18" s="101"/>
      <c r="AG18" s="101">
        <f t="shared" si="14"/>
        <v>0</v>
      </c>
      <c r="AH18" s="102">
        <f>866.9</f>
        <v>866.9</v>
      </c>
      <c r="AI18" s="101">
        <f t="shared" si="15"/>
        <v>7.6271186440677967</v>
      </c>
      <c r="AJ18" s="101">
        <v>9</v>
      </c>
      <c r="AK18" s="101">
        <f t="shared" si="16"/>
        <v>7802.0999999999995</v>
      </c>
      <c r="AL18" s="102">
        <f>25.8+12+12.2+11.5+11.8+21</f>
        <v>94.3</v>
      </c>
      <c r="AM18" s="101">
        <f t="shared" si="17"/>
        <v>11.864406779661017</v>
      </c>
      <c r="AN18" s="101">
        <v>14</v>
      </c>
      <c r="AO18" s="101">
        <f t="shared" si="18"/>
        <v>1320.2</v>
      </c>
      <c r="AP18" s="101">
        <f t="shared" si="19"/>
        <v>36793.5593220339</v>
      </c>
      <c r="AQ18" s="101">
        <f t="shared" si="1"/>
        <v>43416.4</v>
      </c>
      <c r="AR18" s="102">
        <v>225</v>
      </c>
      <c r="AS18" s="101" t="s">
        <v>270</v>
      </c>
      <c r="AT18" s="103">
        <v>0</v>
      </c>
      <c r="AU18" s="103">
        <f t="shared" si="20"/>
        <v>5.0847457627118651</v>
      </c>
      <c r="AV18" s="103">
        <v>6</v>
      </c>
      <c r="AW18" s="103">
        <f t="shared" si="24"/>
        <v>1144.0677966101696</v>
      </c>
      <c r="AX18" s="103">
        <f t="shared" si="21"/>
        <v>1350</v>
      </c>
      <c r="AY18" s="104">
        <f t="shared" si="2"/>
        <v>37937.627118644072</v>
      </c>
      <c r="AZ18" s="105">
        <f t="shared" si="3"/>
        <v>44766.400000000001</v>
      </c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</row>
    <row r="19" spans="1:88" s="40" customFormat="1" ht="228.75" outlineLevel="1" x14ac:dyDescent="0.25">
      <c r="A19" s="97">
        <f t="shared" si="25"/>
        <v>8</v>
      </c>
      <c r="B19" s="98" t="s">
        <v>16</v>
      </c>
      <c r="C19" s="125" t="s">
        <v>271</v>
      </c>
      <c r="D19" s="99" t="s">
        <v>19</v>
      </c>
      <c r="E19" s="100">
        <f t="shared" si="0"/>
        <v>5439.8</v>
      </c>
      <c r="F19" s="101">
        <v>0</v>
      </c>
      <c r="G19" s="101">
        <v>0</v>
      </c>
      <c r="H19" s="101">
        <v>0</v>
      </c>
      <c r="I19" s="101">
        <f t="shared" si="4"/>
        <v>0</v>
      </c>
      <c r="J19" s="100">
        <v>1798.4</v>
      </c>
      <c r="K19" s="101">
        <f t="shared" si="5"/>
        <v>11.864406779661017</v>
      </c>
      <c r="L19" s="101">
        <v>14</v>
      </c>
      <c r="M19" s="101">
        <f t="shared" si="6"/>
        <v>25177.600000000002</v>
      </c>
      <c r="N19" s="102">
        <v>1417</v>
      </c>
      <c r="O19" s="101">
        <f t="shared" ref="O19" si="27">P19/1.18</f>
        <v>4.2372881355932206</v>
      </c>
      <c r="P19" s="101">
        <v>5</v>
      </c>
      <c r="Q19" s="101">
        <f t="shared" ref="Q19" si="28">P19*N19</f>
        <v>7085</v>
      </c>
      <c r="R19" s="100">
        <v>0</v>
      </c>
      <c r="S19" s="101">
        <f t="shared" ref="S19" si="29">T19/1.18</f>
        <v>14.40677966101695</v>
      </c>
      <c r="T19" s="101">
        <v>17</v>
      </c>
      <c r="U19" s="101">
        <f t="shared" ref="U19" si="30">T19*R19</f>
        <v>0</v>
      </c>
      <c r="V19" s="101">
        <v>168.2</v>
      </c>
      <c r="W19" s="101">
        <v>4.2</v>
      </c>
      <c r="X19" s="101">
        <v>7</v>
      </c>
      <c r="Y19" s="101">
        <f t="shared" ref="Y19" si="31">X19*V19</f>
        <v>1177.3999999999999</v>
      </c>
      <c r="Z19" s="100">
        <v>1961.9</v>
      </c>
      <c r="AA19" s="101">
        <f t="shared" ref="AA19" si="32">AB19/1.18</f>
        <v>5.5084745762711869</v>
      </c>
      <c r="AB19" s="101">
        <v>6.5</v>
      </c>
      <c r="AC19" s="101">
        <f t="shared" ref="AC19" si="33">AB19*Z19</f>
        <v>12752.35</v>
      </c>
      <c r="AD19" s="101">
        <v>0</v>
      </c>
      <c r="AE19" s="101"/>
      <c r="AF19" s="101"/>
      <c r="AG19" s="101">
        <f t="shared" ref="AG19" si="34">AF19*AD19</f>
        <v>0</v>
      </c>
      <c r="AH19" s="102">
        <v>0</v>
      </c>
      <c r="AI19" s="101">
        <f t="shared" ref="AI19" si="35">AJ19/1.18</f>
        <v>7.6271186440677967</v>
      </c>
      <c r="AJ19" s="101">
        <v>9</v>
      </c>
      <c r="AK19" s="101">
        <f t="shared" ref="AK19" si="36">AJ19*AH19</f>
        <v>0</v>
      </c>
      <c r="AL19" s="102">
        <f>25.8+12+12.2+11.5+11.8+21</f>
        <v>94.3</v>
      </c>
      <c r="AM19" s="101">
        <f t="shared" ref="AM19" si="37">AN19/1.18</f>
        <v>11.864406779661017</v>
      </c>
      <c r="AN19" s="101">
        <v>14</v>
      </c>
      <c r="AO19" s="101">
        <f t="shared" ref="AO19" si="38">AN19*AL19</f>
        <v>1320.2</v>
      </c>
      <c r="AP19" s="101">
        <f t="shared" ref="AP19" si="39">AQ19/1.18</f>
        <v>40264.872881355928</v>
      </c>
      <c r="AQ19" s="101">
        <f t="shared" si="1"/>
        <v>47512.549999999996</v>
      </c>
      <c r="AR19" s="102">
        <v>3064</v>
      </c>
      <c r="AS19" s="101" t="s">
        <v>270</v>
      </c>
      <c r="AT19" s="103">
        <v>0</v>
      </c>
      <c r="AU19" s="103">
        <f t="shared" ref="AU19" si="40">AV19/1.18</f>
        <v>5.0847457627118651</v>
      </c>
      <c r="AV19" s="103">
        <v>6</v>
      </c>
      <c r="AW19" s="103">
        <f t="shared" ref="AW19" si="41">AU19*AR19</f>
        <v>15579.661016949154</v>
      </c>
      <c r="AX19" s="103">
        <f t="shared" ref="AX19" si="42">AV19*AR19</f>
        <v>18384</v>
      </c>
      <c r="AY19" s="104">
        <f t="shared" ref="AY19" si="43">AP19+AW19</f>
        <v>55844.533898305082</v>
      </c>
      <c r="AZ19" s="105">
        <f t="shared" ref="AZ19" si="44">AQ19+AX19</f>
        <v>65896.549999999988</v>
      </c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</row>
    <row r="20" spans="1:88" s="4" customFormat="1" ht="228.75" outlineLevel="1" x14ac:dyDescent="0.25">
      <c r="A20" s="97">
        <f t="shared" si="25"/>
        <v>9</v>
      </c>
      <c r="B20" s="128" t="s">
        <v>16</v>
      </c>
      <c r="C20" s="125" t="s">
        <v>246</v>
      </c>
      <c r="D20" s="99" t="s">
        <v>19</v>
      </c>
      <c r="E20" s="100">
        <f t="shared" si="0"/>
        <v>4581.05</v>
      </c>
      <c r="F20" s="101">
        <v>0</v>
      </c>
      <c r="G20" s="101">
        <v>0</v>
      </c>
      <c r="H20" s="101">
        <v>0</v>
      </c>
      <c r="I20" s="101">
        <f t="shared" si="4"/>
        <v>0</v>
      </c>
      <c r="J20" s="100">
        <f>118.75+531.6+577.7+644.5+757.7+87.5</f>
        <v>2717.75</v>
      </c>
      <c r="K20" s="101">
        <f t="shared" si="5"/>
        <v>11.864406779661017</v>
      </c>
      <c r="L20" s="101">
        <v>14</v>
      </c>
      <c r="M20" s="101">
        <f t="shared" si="6"/>
        <v>38048.5</v>
      </c>
      <c r="N20" s="102">
        <v>130.1</v>
      </c>
      <c r="O20" s="101">
        <f t="shared" si="7"/>
        <v>4.2372881355932206</v>
      </c>
      <c r="P20" s="101">
        <v>5</v>
      </c>
      <c r="Q20" s="101">
        <f t="shared" si="8"/>
        <v>650.5</v>
      </c>
      <c r="R20" s="100">
        <v>0</v>
      </c>
      <c r="S20" s="101">
        <f t="shared" si="9"/>
        <v>14.40677966101695</v>
      </c>
      <c r="T20" s="101">
        <v>17</v>
      </c>
      <c r="U20" s="101">
        <f t="shared" si="10"/>
        <v>0</v>
      </c>
      <c r="V20" s="101">
        <v>0</v>
      </c>
      <c r="W20" s="101">
        <f t="shared" ref="W20:W21" si="45">X20/1.18</f>
        <v>5.9322033898305087</v>
      </c>
      <c r="X20" s="101">
        <v>7</v>
      </c>
      <c r="Y20" s="101">
        <f t="shared" si="11"/>
        <v>0</v>
      </c>
      <c r="Z20" s="100">
        <f>30.2+82.9+274.5+25.9+106+21+189.2+104.3+191.5+47.5+200.3+47.5+195.5+47.5+36.6</f>
        <v>1600.3999999999999</v>
      </c>
      <c r="AA20" s="101">
        <f t="shared" si="23"/>
        <v>5.5084745762711869</v>
      </c>
      <c r="AB20" s="101">
        <v>6.5</v>
      </c>
      <c r="AC20" s="101">
        <f t="shared" si="13"/>
        <v>10402.599999999999</v>
      </c>
      <c r="AD20" s="101">
        <v>0</v>
      </c>
      <c r="AE20" s="101"/>
      <c r="AF20" s="101"/>
      <c r="AG20" s="101">
        <f t="shared" si="14"/>
        <v>0</v>
      </c>
      <c r="AH20" s="102">
        <f>20.2</f>
        <v>20.2</v>
      </c>
      <c r="AI20" s="101">
        <f t="shared" si="15"/>
        <v>7.6271186440677967</v>
      </c>
      <c r="AJ20" s="101">
        <v>9</v>
      </c>
      <c r="AK20" s="101">
        <f t="shared" si="16"/>
        <v>181.79999999999998</v>
      </c>
      <c r="AL20" s="102">
        <f>5.2+21.2+20.7+32.3+33.2</f>
        <v>112.6</v>
      </c>
      <c r="AM20" s="101">
        <f t="shared" si="17"/>
        <v>11.864406779661017</v>
      </c>
      <c r="AN20" s="101">
        <v>14</v>
      </c>
      <c r="AO20" s="101">
        <f t="shared" si="18"/>
        <v>1576.3999999999999</v>
      </c>
      <c r="AP20" s="101">
        <f t="shared" si="19"/>
        <v>43101.525423728817</v>
      </c>
      <c r="AQ20" s="101">
        <f t="shared" si="1"/>
        <v>50859.8</v>
      </c>
      <c r="AR20" s="102">
        <v>1278.3</v>
      </c>
      <c r="AS20" s="101" t="s">
        <v>270</v>
      </c>
      <c r="AT20" s="103">
        <v>0</v>
      </c>
      <c r="AU20" s="103">
        <f t="shared" si="20"/>
        <v>5.0847457627118651</v>
      </c>
      <c r="AV20" s="103">
        <v>6</v>
      </c>
      <c r="AW20" s="103">
        <f t="shared" si="24"/>
        <v>6499.8305084745771</v>
      </c>
      <c r="AX20" s="103">
        <f t="shared" si="21"/>
        <v>7669.7999999999993</v>
      </c>
      <c r="AY20" s="104">
        <f t="shared" si="2"/>
        <v>49601.355932203398</v>
      </c>
      <c r="AZ20" s="105">
        <f t="shared" si="3"/>
        <v>58529.600000000006</v>
      </c>
      <c r="BA20" s="9"/>
      <c r="BB20" s="9"/>
      <c r="BC20" s="9"/>
      <c r="BD20" s="9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</row>
    <row r="21" spans="1:88" s="40" customFormat="1" ht="320.25" outlineLevel="1" x14ac:dyDescent="0.25">
      <c r="A21" s="97">
        <f t="shared" si="25"/>
        <v>10</v>
      </c>
      <c r="B21" s="98" t="s">
        <v>16</v>
      </c>
      <c r="C21" s="125" t="s">
        <v>249</v>
      </c>
      <c r="D21" s="99" t="s">
        <v>19</v>
      </c>
      <c r="E21" s="100">
        <f t="shared" si="0"/>
        <v>1765.1</v>
      </c>
      <c r="F21" s="101">
        <v>0</v>
      </c>
      <c r="G21" s="101">
        <v>0</v>
      </c>
      <c r="H21" s="101">
        <v>0</v>
      </c>
      <c r="I21" s="101">
        <f t="shared" si="4"/>
        <v>0</v>
      </c>
      <c r="J21" s="100">
        <v>336.4</v>
      </c>
      <c r="K21" s="101">
        <f t="shared" si="5"/>
        <v>11.864406779661017</v>
      </c>
      <c r="L21" s="101">
        <v>14</v>
      </c>
      <c r="M21" s="101">
        <f t="shared" si="6"/>
        <v>4709.5999999999995</v>
      </c>
      <c r="N21" s="102">
        <v>835.8</v>
      </c>
      <c r="O21" s="101">
        <f t="shared" si="7"/>
        <v>4.2372881355932206</v>
      </c>
      <c r="P21" s="101">
        <v>5</v>
      </c>
      <c r="Q21" s="101">
        <f t="shared" si="8"/>
        <v>4179</v>
      </c>
      <c r="R21" s="100">
        <v>0</v>
      </c>
      <c r="S21" s="101">
        <f t="shared" si="9"/>
        <v>14.40677966101695</v>
      </c>
      <c r="T21" s="101">
        <v>17</v>
      </c>
      <c r="U21" s="101">
        <f t="shared" si="10"/>
        <v>0</v>
      </c>
      <c r="V21" s="101">
        <v>81.900000000000006</v>
      </c>
      <c r="W21" s="101">
        <f t="shared" si="45"/>
        <v>5.9322033898305087</v>
      </c>
      <c r="X21" s="101">
        <v>7</v>
      </c>
      <c r="Y21" s="101">
        <f t="shared" si="11"/>
        <v>573.30000000000007</v>
      </c>
      <c r="Z21" s="100">
        <v>153.30000000000001</v>
      </c>
      <c r="AA21" s="101">
        <f t="shared" si="23"/>
        <v>5.5084745762711869</v>
      </c>
      <c r="AB21" s="101">
        <v>6.5</v>
      </c>
      <c r="AC21" s="101">
        <f t="shared" si="13"/>
        <v>996.45</v>
      </c>
      <c r="AD21" s="101">
        <v>0</v>
      </c>
      <c r="AE21" s="101"/>
      <c r="AF21" s="101"/>
      <c r="AG21" s="101">
        <f t="shared" si="14"/>
        <v>0</v>
      </c>
      <c r="AH21" s="102">
        <v>344.8</v>
      </c>
      <c r="AI21" s="101">
        <f t="shared" si="15"/>
        <v>7.6271186440677967</v>
      </c>
      <c r="AJ21" s="101">
        <v>9</v>
      </c>
      <c r="AK21" s="101">
        <f t="shared" si="16"/>
        <v>3103.2000000000003</v>
      </c>
      <c r="AL21" s="102">
        <v>12.9</v>
      </c>
      <c r="AM21" s="101">
        <f t="shared" si="17"/>
        <v>11.864406779661017</v>
      </c>
      <c r="AN21" s="101">
        <v>14</v>
      </c>
      <c r="AO21" s="101">
        <f t="shared" si="18"/>
        <v>180.6</v>
      </c>
      <c r="AP21" s="101">
        <f t="shared" si="19"/>
        <v>11645.889830508475</v>
      </c>
      <c r="AQ21" s="101">
        <f t="shared" si="1"/>
        <v>13742.15</v>
      </c>
      <c r="AR21" s="102">
        <v>1980</v>
      </c>
      <c r="AS21" s="101" t="s">
        <v>270</v>
      </c>
      <c r="AT21" s="103">
        <v>0</v>
      </c>
      <c r="AU21" s="103">
        <f t="shared" si="20"/>
        <v>5.0847457627118651</v>
      </c>
      <c r="AV21" s="103">
        <v>6</v>
      </c>
      <c r="AW21" s="103">
        <f t="shared" si="24"/>
        <v>10067.796610169493</v>
      </c>
      <c r="AX21" s="103">
        <f t="shared" si="21"/>
        <v>11880</v>
      </c>
      <c r="AY21" s="104">
        <f t="shared" si="2"/>
        <v>21713.686440677968</v>
      </c>
      <c r="AZ21" s="105">
        <f t="shared" si="3"/>
        <v>25622.15</v>
      </c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</row>
    <row r="22" spans="1:88" s="4" customFormat="1" ht="228.75" outlineLevel="1" x14ac:dyDescent="0.25">
      <c r="A22" s="97">
        <f t="shared" si="25"/>
        <v>11</v>
      </c>
      <c r="B22" s="98" t="s">
        <v>16</v>
      </c>
      <c r="C22" s="125" t="s">
        <v>48</v>
      </c>
      <c r="D22" s="99" t="s">
        <v>19</v>
      </c>
      <c r="E22" s="100">
        <f t="shared" si="0"/>
        <v>1326.6000000000001</v>
      </c>
      <c r="F22" s="101">
        <v>0</v>
      </c>
      <c r="G22" s="101">
        <v>0</v>
      </c>
      <c r="H22" s="101">
        <v>0</v>
      </c>
      <c r="I22" s="101">
        <f t="shared" si="4"/>
        <v>0</v>
      </c>
      <c r="J22" s="100">
        <v>35.5</v>
      </c>
      <c r="K22" s="101">
        <f t="shared" si="5"/>
        <v>11.864406779661017</v>
      </c>
      <c r="L22" s="101">
        <v>14</v>
      </c>
      <c r="M22" s="101">
        <f t="shared" si="6"/>
        <v>497</v>
      </c>
      <c r="N22" s="102">
        <v>409.1</v>
      </c>
      <c r="O22" s="101">
        <f t="shared" si="7"/>
        <v>4.2372881355932206</v>
      </c>
      <c r="P22" s="101">
        <v>5</v>
      </c>
      <c r="Q22" s="101">
        <f t="shared" si="8"/>
        <v>2045.5</v>
      </c>
      <c r="R22" s="100">
        <v>51.5</v>
      </c>
      <c r="S22" s="101">
        <f t="shared" si="9"/>
        <v>14.40677966101695</v>
      </c>
      <c r="T22" s="101">
        <v>17</v>
      </c>
      <c r="U22" s="101">
        <f t="shared" si="10"/>
        <v>875.5</v>
      </c>
      <c r="V22" s="101">
        <v>58.6</v>
      </c>
      <c r="W22" s="101">
        <f t="shared" ref="W22:W24" si="46">X22/1.18</f>
        <v>5.9322033898305087</v>
      </c>
      <c r="X22" s="101">
        <v>7</v>
      </c>
      <c r="Y22" s="101">
        <f t="shared" si="11"/>
        <v>410.2</v>
      </c>
      <c r="Z22" s="100">
        <v>385.4</v>
      </c>
      <c r="AA22" s="101">
        <f t="shared" si="23"/>
        <v>5.5084745762711869</v>
      </c>
      <c r="AB22" s="101">
        <v>6.5</v>
      </c>
      <c r="AC22" s="101">
        <f t="shared" si="13"/>
        <v>2505.1</v>
      </c>
      <c r="AD22" s="101">
        <v>0</v>
      </c>
      <c r="AE22" s="101"/>
      <c r="AF22" s="101"/>
      <c r="AG22" s="101">
        <f t="shared" si="14"/>
        <v>0</v>
      </c>
      <c r="AH22" s="102">
        <v>382.6</v>
      </c>
      <c r="AI22" s="101">
        <f t="shared" si="15"/>
        <v>7.6271186440677967</v>
      </c>
      <c r="AJ22" s="101">
        <v>9</v>
      </c>
      <c r="AK22" s="101">
        <f t="shared" si="16"/>
        <v>3443.4</v>
      </c>
      <c r="AL22" s="102">
        <v>3.9</v>
      </c>
      <c r="AM22" s="101">
        <f t="shared" si="17"/>
        <v>11.864406779661017</v>
      </c>
      <c r="AN22" s="101">
        <v>14</v>
      </c>
      <c r="AO22" s="101">
        <f t="shared" si="18"/>
        <v>54.6</v>
      </c>
      <c r="AP22" s="101">
        <f t="shared" si="19"/>
        <v>8331.6101694915251</v>
      </c>
      <c r="AQ22" s="101">
        <f t="shared" si="1"/>
        <v>9831.2999999999993</v>
      </c>
      <c r="AR22" s="102">
        <v>1071</v>
      </c>
      <c r="AS22" s="101" t="s">
        <v>270</v>
      </c>
      <c r="AT22" s="103">
        <v>0</v>
      </c>
      <c r="AU22" s="103">
        <f t="shared" si="20"/>
        <v>5.0847457627118651</v>
      </c>
      <c r="AV22" s="103">
        <v>6</v>
      </c>
      <c r="AW22" s="103">
        <f t="shared" si="24"/>
        <v>5445.7627118644077</v>
      </c>
      <c r="AX22" s="103">
        <f t="shared" si="21"/>
        <v>6426</v>
      </c>
      <c r="AY22" s="104">
        <f t="shared" si="2"/>
        <v>13777.372881355932</v>
      </c>
      <c r="AZ22" s="105">
        <f t="shared" si="3"/>
        <v>16257.3</v>
      </c>
      <c r="BA22" s="9"/>
      <c r="BB22" s="9"/>
      <c r="BC22" s="9"/>
      <c r="BD22" s="9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</row>
    <row r="23" spans="1:88" s="40" customFormat="1" ht="228.75" outlineLevel="1" x14ac:dyDescent="0.25">
      <c r="A23" s="97">
        <f t="shared" si="25"/>
        <v>12</v>
      </c>
      <c r="B23" s="98" t="s">
        <v>16</v>
      </c>
      <c r="C23" s="125" t="s">
        <v>49</v>
      </c>
      <c r="D23" s="99" t="s">
        <v>19</v>
      </c>
      <c r="E23" s="100">
        <f t="shared" si="0"/>
        <v>1439.7</v>
      </c>
      <c r="F23" s="101">
        <v>0</v>
      </c>
      <c r="G23" s="101">
        <v>0</v>
      </c>
      <c r="H23" s="101">
        <v>0</v>
      </c>
      <c r="I23" s="101">
        <f t="shared" si="4"/>
        <v>0</v>
      </c>
      <c r="J23" s="100">
        <f>378.1+70.4</f>
        <v>448.5</v>
      </c>
      <c r="K23" s="101">
        <f t="shared" si="5"/>
        <v>11.864406779661017</v>
      </c>
      <c r="L23" s="101">
        <v>14</v>
      </c>
      <c r="M23" s="101">
        <f t="shared" si="6"/>
        <v>6279</v>
      </c>
      <c r="N23" s="102">
        <f>89.8+454.9+72.9</f>
        <v>617.59999999999991</v>
      </c>
      <c r="O23" s="101">
        <f t="shared" si="7"/>
        <v>4.2372881355932206</v>
      </c>
      <c r="P23" s="101">
        <v>5</v>
      </c>
      <c r="Q23" s="101">
        <f t="shared" si="8"/>
        <v>3087.9999999999995</v>
      </c>
      <c r="R23" s="100">
        <v>0</v>
      </c>
      <c r="S23" s="101">
        <f t="shared" si="9"/>
        <v>14.40677966101695</v>
      </c>
      <c r="T23" s="101">
        <v>17</v>
      </c>
      <c r="U23" s="101">
        <f t="shared" si="10"/>
        <v>0</v>
      </c>
      <c r="V23" s="101">
        <v>47.5</v>
      </c>
      <c r="W23" s="101">
        <f t="shared" si="46"/>
        <v>5.9322033898305087</v>
      </c>
      <c r="X23" s="101">
        <v>7</v>
      </c>
      <c r="Y23" s="101">
        <f t="shared" si="11"/>
        <v>332.5</v>
      </c>
      <c r="Z23" s="100">
        <v>295.39999999999998</v>
      </c>
      <c r="AA23" s="101">
        <f t="shared" si="23"/>
        <v>5.5084745762711869</v>
      </c>
      <c r="AB23" s="101">
        <v>6.5</v>
      </c>
      <c r="AC23" s="101">
        <f t="shared" si="13"/>
        <v>1920.1</v>
      </c>
      <c r="AD23" s="101">
        <v>0</v>
      </c>
      <c r="AE23" s="101"/>
      <c r="AF23" s="101"/>
      <c r="AG23" s="101">
        <f t="shared" si="14"/>
        <v>0</v>
      </c>
      <c r="AH23" s="102">
        <v>0</v>
      </c>
      <c r="AI23" s="101">
        <f t="shared" si="15"/>
        <v>7.6271186440677967</v>
      </c>
      <c r="AJ23" s="101">
        <v>9</v>
      </c>
      <c r="AK23" s="101">
        <f t="shared" si="16"/>
        <v>0</v>
      </c>
      <c r="AL23" s="102">
        <f>7.9+22.8</f>
        <v>30.700000000000003</v>
      </c>
      <c r="AM23" s="101">
        <f t="shared" si="17"/>
        <v>11.864406779661017</v>
      </c>
      <c r="AN23" s="101">
        <v>14</v>
      </c>
      <c r="AO23" s="101">
        <f t="shared" si="18"/>
        <v>429.80000000000007</v>
      </c>
      <c r="AP23" s="101">
        <f t="shared" si="19"/>
        <v>10211.355932203391</v>
      </c>
      <c r="AQ23" s="101">
        <f t="shared" si="1"/>
        <v>12049.4</v>
      </c>
      <c r="AR23" s="102">
        <v>2942</v>
      </c>
      <c r="AS23" s="101" t="s">
        <v>270</v>
      </c>
      <c r="AT23" s="103">
        <v>0</v>
      </c>
      <c r="AU23" s="103">
        <f t="shared" si="20"/>
        <v>5.0847457627118651</v>
      </c>
      <c r="AV23" s="103">
        <v>6</v>
      </c>
      <c r="AW23" s="103">
        <f t="shared" si="24"/>
        <v>14959.322033898306</v>
      </c>
      <c r="AX23" s="103">
        <f t="shared" si="21"/>
        <v>17652</v>
      </c>
      <c r="AY23" s="104">
        <f t="shared" si="2"/>
        <v>25170.677966101699</v>
      </c>
      <c r="AZ23" s="105">
        <f t="shared" si="3"/>
        <v>29701.4</v>
      </c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</row>
    <row r="24" spans="1:88" s="4" customFormat="1" ht="228.75" outlineLevel="1" x14ac:dyDescent="0.25">
      <c r="A24" s="97">
        <f t="shared" si="25"/>
        <v>13</v>
      </c>
      <c r="B24" s="98" t="s">
        <v>16</v>
      </c>
      <c r="C24" s="125" t="s">
        <v>50</v>
      </c>
      <c r="D24" s="99" t="s">
        <v>19</v>
      </c>
      <c r="E24" s="100">
        <f t="shared" si="0"/>
        <v>654.99999999999989</v>
      </c>
      <c r="F24" s="101">
        <v>0</v>
      </c>
      <c r="G24" s="101">
        <v>0</v>
      </c>
      <c r="H24" s="101">
        <v>0</v>
      </c>
      <c r="I24" s="101">
        <f t="shared" si="4"/>
        <v>0</v>
      </c>
      <c r="J24" s="100">
        <v>205.1</v>
      </c>
      <c r="K24" s="101">
        <f t="shared" si="5"/>
        <v>11.864406779661017</v>
      </c>
      <c r="L24" s="101">
        <v>14</v>
      </c>
      <c r="M24" s="101">
        <f t="shared" si="6"/>
        <v>2871.4</v>
      </c>
      <c r="N24" s="102">
        <v>52.1</v>
      </c>
      <c r="O24" s="101">
        <f t="shared" si="7"/>
        <v>4.2372881355932206</v>
      </c>
      <c r="P24" s="101">
        <v>5</v>
      </c>
      <c r="Q24" s="101">
        <f t="shared" si="8"/>
        <v>260.5</v>
      </c>
      <c r="R24" s="100">
        <v>13.4</v>
      </c>
      <c r="S24" s="101">
        <f t="shared" si="9"/>
        <v>14.40677966101695</v>
      </c>
      <c r="T24" s="101">
        <v>17</v>
      </c>
      <c r="U24" s="101">
        <f t="shared" si="10"/>
        <v>227.8</v>
      </c>
      <c r="V24" s="101">
        <v>16.899999999999999</v>
      </c>
      <c r="W24" s="101">
        <f t="shared" si="46"/>
        <v>5.9322033898305087</v>
      </c>
      <c r="X24" s="101">
        <v>7</v>
      </c>
      <c r="Y24" s="101">
        <f t="shared" si="11"/>
        <v>118.29999999999998</v>
      </c>
      <c r="Z24" s="100">
        <v>89.1</v>
      </c>
      <c r="AA24" s="101">
        <f t="shared" si="23"/>
        <v>5.5084745762711869</v>
      </c>
      <c r="AB24" s="101">
        <v>6.5</v>
      </c>
      <c r="AC24" s="101">
        <f t="shared" si="13"/>
        <v>579.15</v>
      </c>
      <c r="AD24" s="101">
        <v>0</v>
      </c>
      <c r="AE24" s="101"/>
      <c r="AF24" s="101"/>
      <c r="AG24" s="101">
        <f t="shared" si="14"/>
        <v>0</v>
      </c>
      <c r="AH24" s="102">
        <v>271.5</v>
      </c>
      <c r="AI24" s="101">
        <f t="shared" si="15"/>
        <v>7.6271186440677967</v>
      </c>
      <c r="AJ24" s="101">
        <v>9</v>
      </c>
      <c r="AK24" s="101">
        <f t="shared" si="16"/>
        <v>2443.5</v>
      </c>
      <c r="AL24" s="102">
        <v>6.9</v>
      </c>
      <c r="AM24" s="101">
        <f t="shared" si="17"/>
        <v>11.864406779661017</v>
      </c>
      <c r="AN24" s="101">
        <v>14</v>
      </c>
      <c r="AO24" s="101">
        <f t="shared" si="18"/>
        <v>96.600000000000009</v>
      </c>
      <c r="AP24" s="101">
        <f t="shared" si="19"/>
        <v>5590.8898305084758</v>
      </c>
      <c r="AQ24" s="101">
        <f t="shared" si="1"/>
        <v>6597.2500000000009</v>
      </c>
      <c r="AR24" s="102">
        <v>856</v>
      </c>
      <c r="AS24" s="101" t="s">
        <v>270</v>
      </c>
      <c r="AT24" s="103">
        <v>0</v>
      </c>
      <c r="AU24" s="103">
        <f t="shared" si="20"/>
        <v>5.0847457627118651</v>
      </c>
      <c r="AV24" s="103">
        <v>6</v>
      </c>
      <c r="AW24" s="103">
        <f t="shared" si="24"/>
        <v>4352.5423728813566</v>
      </c>
      <c r="AX24" s="103">
        <f t="shared" si="21"/>
        <v>5136</v>
      </c>
      <c r="AY24" s="104">
        <f t="shared" si="2"/>
        <v>9943.4322033898316</v>
      </c>
      <c r="AZ24" s="105">
        <f t="shared" si="3"/>
        <v>11733.25</v>
      </c>
      <c r="BA24" s="9"/>
      <c r="BB24" s="9"/>
      <c r="BC24" s="9"/>
      <c r="BD24" s="9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</row>
    <row r="25" spans="1:88" s="4" customFormat="1" ht="228.75" outlineLevel="1" x14ac:dyDescent="0.25">
      <c r="A25" s="97">
        <f t="shared" si="25"/>
        <v>14</v>
      </c>
      <c r="B25" s="98" t="s">
        <v>16</v>
      </c>
      <c r="C25" s="125" t="s">
        <v>51</v>
      </c>
      <c r="D25" s="99" t="s">
        <v>19</v>
      </c>
      <c r="E25" s="100">
        <f t="shared" si="0"/>
        <v>2168.2000000000003</v>
      </c>
      <c r="F25" s="101">
        <v>0</v>
      </c>
      <c r="G25" s="101">
        <v>0</v>
      </c>
      <c r="H25" s="101">
        <v>0</v>
      </c>
      <c r="I25" s="101">
        <f t="shared" si="4"/>
        <v>0</v>
      </c>
      <c r="J25" s="100">
        <v>68.7</v>
      </c>
      <c r="K25" s="101">
        <f t="shared" si="5"/>
        <v>11.864406779661017</v>
      </c>
      <c r="L25" s="101">
        <v>14</v>
      </c>
      <c r="M25" s="101">
        <f t="shared" si="6"/>
        <v>961.80000000000007</v>
      </c>
      <c r="N25" s="102">
        <v>474.9</v>
      </c>
      <c r="O25" s="101">
        <f t="shared" si="7"/>
        <v>4.2372881355932206</v>
      </c>
      <c r="P25" s="101">
        <v>5</v>
      </c>
      <c r="Q25" s="101">
        <f t="shared" si="8"/>
        <v>2374.5</v>
      </c>
      <c r="R25" s="100">
        <v>0</v>
      </c>
      <c r="S25" s="101">
        <f t="shared" si="9"/>
        <v>14.40677966101695</v>
      </c>
      <c r="T25" s="101">
        <v>17</v>
      </c>
      <c r="U25" s="101">
        <f t="shared" si="10"/>
        <v>0</v>
      </c>
      <c r="V25" s="101">
        <v>85.1</v>
      </c>
      <c r="W25" s="101">
        <v>4.2</v>
      </c>
      <c r="X25" s="101">
        <v>7</v>
      </c>
      <c r="Y25" s="101">
        <f t="shared" si="11"/>
        <v>595.69999999999993</v>
      </c>
      <c r="Z25" s="100">
        <v>913.2</v>
      </c>
      <c r="AA25" s="101">
        <f t="shared" si="23"/>
        <v>5.5084745762711869</v>
      </c>
      <c r="AB25" s="101">
        <v>6.5</v>
      </c>
      <c r="AC25" s="101">
        <f t="shared" si="13"/>
        <v>5935.8</v>
      </c>
      <c r="AD25" s="101">
        <v>0</v>
      </c>
      <c r="AE25" s="101"/>
      <c r="AF25" s="101"/>
      <c r="AG25" s="101">
        <f t="shared" si="14"/>
        <v>0</v>
      </c>
      <c r="AH25" s="102">
        <v>563.20000000000005</v>
      </c>
      <c r="AI25" s="101">
        <f t="shared" si="15"/>
        <v>7.6271186440677967</v>
      </c>
      <c r="AJ25" s="101">
        <v>9</v>
      </c>
      <c r="AK25" s="101">
        <f t="shared" si="16"/>
        <v>5068.8</v>
      </c>
      <c r="AL25" s="102">
        <v>63.1</v>
      </c>
      <c r="AM25" s="101">
        <f t="shared" si="17"/>
        <v>11.864406779661017</v>
      </c>
      <c r="AN25" s="101">
        <v>14</v>
      </c>
      <c r="AO25" s="101">
        <f t="shared" si="18"/>
        <v>883.4</v>
      </c>
      <c r="AP25" s="101">
        <f t="shared" si="19"/>
        <v>13406.779661016948</v>
      </c>
      <c r="AQ25" s="101">
        <f t="shared" si="1"/>
        <v>15819.999999999998</v>
      </c>
      <c r="AR25" s="102">
        <v>1868</v>
      </c>
      <c r="AS25" s="101" t="s">
        <v>270</v>
      </c>
      <c r="AT25" s="103">
        <v>0</v>
      </c>
      <c r="AU25" s="103">
        <f t="shared" si="20"/>
        <v>5.0847457627118651</v>
      </c>
      <c r="AV25" s="103">
        <v>6</v>
      </c>
      <c r="AW25" s="103">
        <f t="shared" si="24"/>
        <v>9498.3050847457635</v>
      </c>
      <c r="AX25" s="103">
        <f t="shared" si="21"/>
        <v>11208</v>
      </c>
      <c r="AY25" s="104">
        <f t="shared" si="2"/>
        <v>22905.08474576271</v>
      </c>
      <c r="AZ25" s="105">
        <f t="shared" si="3"/>
        <v>27028</v>
      </c>
      <c r="BA25" s="9"/>
      <c r="BB25" s="9"/>
      <c r="BC25" s="9"/>
      <c r="BD25" s="9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</row>
    <row r="26" spans="1:88" s="4" customFormat="1" ht="228.75" outlineLevel="1" x14ac:dyDescent="0.25">
      <c r="A26" s="97">
        <v>15</v>
      </c>
      <c r="B26" s="98" t="s">
        <v>16</v>
      </c>
      <c r="C26" s="125" t="s">
        <v>57</v>
      </c>
      <c r="D26" s="99" t="s">
        <v>19</v>
      </c>
      <c r="E26" s="126">
        <f t="shared" si="0"/>
        <v>54.74</v>
      </c>
      <c r="F26" s="101">
        <v>0</v>
      </c>
      <c r="G26" s="101">
        <v>0</v>
      </c>
      <c r="H26" s="101">
        <v>0</v>
      </c>
      <c r="I26" s="101">
        <f t="shared" si="4"/>
        <v>0</v>
      </c>
      <c r="J26" s="100">
        <v>54.74</v>
      </c>
      <c r="K26" s="101">
        <f t="shared" si="5"/>
        <v>11.864406779661017</v>
      </c>
      <c r="L26" s="101">
        <v>14</v>
      </c>
      <c r="M26" s="101">
        <f t="shared" si="6"/>
        <v>766.36</v>
      </c>
      <c r="N26" s="102">
        <v>0</v>
      </c>
      <c r="O26" s="101">
        <f t="shared" si="7"/>
        <v>4.2372881355932206</v>
      </c>
      <c r="P26" s="101">
        <v>5</v>
      </c>
      <c r="Q26" s="101">
        <f t="shared" si="8"/>
        <v>0</v>
      </c>
      <c r="R26" s="100">
        <v>0</v>
      </c>
      <c r="S26" s="101">
        <f t="shared" si="9"/>
        <v>14.40677966101695</v>
      </c>
      <c r="T26" s="101">
        <v>17</v>
      </c>
      <c r="U26" s="101">
        <f t="shared" si="10"/>
        <v>0</v>
      </c>
      <c r="V26" s="101">
        <v>0</v>
      </c>
      <c r="W26" s="101">
        <f t="shared" ref="W26:W41" si="47">X26/1.18</f>
        <v>5.9322033898305087</v>
      </c>
      <c r="X26" s="101">
        <v>7</v>
      </c>
      <c r="Y26" s="101">
        <f t="shared" si="11"/>
        <v>0</v>
      </c>
      <c r="Z26" s="100">
        <v>0</v>
      </c>
      <c r="AA26" s="101">
        <f t="shared" si="23"/>
        <v>5.5084745762711869</v>
      </c>
      <c r="AB26" s="101">
        <v>6.5</v>
      </c>
      <c r="AC26" s="101">
        <f t="shared" si="13"/>
        <v>0</v>
      </c>
      <c r="AD26" s="101">
        <v>0</v>
      </c>
      <c r="AE26" s="101"/>
      <c r="AF26" s="101"/>
      <c r="AG26" s="101">
        <f t="shared" si="14"/>
        <v>0</v>
      </c>
      <c r="AH26" s="102">
        <v>0</v>
      </c>
      <c r="AI26" s="101">
        <f t="shared" si="15"/>
        <v>7.6271186440677967</v>
      </c>
      <c r="AJ26" s="101">
        <v>9</v>
      </c>
      <c r="AK26" s="101">
        <f t="shared" si="16"/>
        <v>0</v>
      </c>
      <c r="AL26" s="102">
        <v>0</v>
      </c>
      <c r="AM26" s="101">
        <f t="shared" si="17"/>
        <v>11.864406779661017</v>
      </c>
      <c r="AN26" s="101">
        <v>14</v>
      </c>
      <c r="AO26" s="101">
        <f t="shared" si="18"/>
        <v>0</v>
      </c>
      <c r="AP26" s="101">
        <f t="shared" si="19"/>
        <v>649.45762711864415</v>
      </c>
      <c r="AQ26" s="101">
        <f t="shared" si="1"/>
        <v>766.36</v>
      </c>
      <c r="AR26" s="102">
        <v>0</v>
      </c>
      <c r="AS26" s="101" t="s">
        <v>270</v>
      </c>
      <c r="AT26" s="103">
        <v>0</v>
      </c>
      <c r="AU26" s="103">
        <f t="shared" si="20"/>
        <v>5.0847457627118651</v>
      </c>
      <c r="AV26" s="103">
        <v>6</v>
      </c>
      <c r="AW26" s="103">
        <f t="shared" si="24"/>
        <v>0</v>
      </c>
      <c r="AX26" s="103">
        <f t="shared" si="21"/>
        <v>0</v>
      </c>
      <c r="AY26" s="104">
        <f t="shared" si="2"/>
        <v>649.45762711864415</v>
      </c>
      <c r="AZ26" s="105">
        <f t="shared" si="3"/>
        <v>766.36</v>
      </c>
      <c r="BA26" s="9"/>
      <c r="BB26" s="9"/>
      <c r="BC26" s="9"/>
      <c r="BD26" s="9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</row>
    <row r="27" spans="1:88" s="4" customFormat="1" ht="228.75" outlineLevel="1" x14ac:dyDescent="0.25">
      <c r="A27" s="97">
        <f t="shared" si="25"/>
        <v>16</v>
      </c>
      <c r="B27" s="98" t="s">
        <v>16</v>
      </c>
      <c r="C27" s="125" t="s">
        <v>52</v>
      </c>
      <c r="D27" s="99" t="s">
        <v>19</v>
      </c>
      <c r="E27" s="100">
        <f t="shared" si="0"/>
        <v>761.49999999999989</v>
      </c>
      <c r="F27" s="101">
        <v>0</v>
      </c>
      <c r="G27" s="101">
        <v>0</v>
      </c>
      <c r="H27" s="101">
        <v>0</v>
      </c>
      <c r="I27" s="101">
        <f t="shared" si="4"/>
        <v>0</v>
      </c>
      <c r="J27" s="100">
        <v>151.30000000000001</v>
      </c>
      <c r="K27" s="101">
        <f t="shared" si="5"/>
        <v>11.864406779661017</v>
      </c>
      <c r="L27" s="101">
        <v>14</v>
      </c>
      <c r="M27" s="101">
        <f t="shared" si="6"/>
        <v>2118.2000000000003</v>
      </c>
      <c r="N27" s="102">
        <v>281.7</v>
      </c>
      <c r="O27" s="101">
        <f t="shared" si="7"/>
        <v>4.2372881355932206</v>
      </c>
      <c r="P27" s="101">
        <v>5</v>
      </c>
      <c r="Q27" s="101">
        <f t="shared" si="8"/>
        <v>1408.5</v>
      </c>
      <c r="R27" s="100">
        <v>0</v>
      </c>
      <c r="S27" s="101">
        <f t="shared" si="9"/>
        <v>14.40677966101695</v>
      </c>
      <c r="T27" s="101">
        <v>17</v>
      </c>
      <c r="U27" s="101">
        <f t="shared" si="10"/>
        <v>0</v>
      </c>
      <c r="V27" s="101">
        <v>23</v>
      </c>
      <c r="W27" s="101">
        <f t="shared" si="47"/>
        <v>5.9322033898305087</v>
      </c>
      <c r="X27" s="101">
        <v>7</v>
      </c>
      <c r="Y27" s="101">
        <f t="shared" si="11"/>
        <v>161</v>
      </c>
      <c r="Z27" s="100">
        <v>97.3</v>
      </c>
      <c r="AA27" s="101">
        <f t="shared" si="23"/>
        <v>5.5084745762711869</v>
      </c>
      <c r="AB27" s="101">
        <v>6.5</v>
      </c>
      <c r="AC27" s="101">
        <f t="shared" si="13"/>
        <v>632.44999999999993</v>
      </c>
      <c r="AD27" s="101">
        <v>0</v>
      </c>
      <c r="AE27" s="101"/>
      <c r="AF27" s="101"/>
      <c r="AG27" s="101">
        <f t="shared" si="14"/>
        <v>0</v>
      </c>
      <c r="AH27" s="102">
        <v>176.4</v>
      </c>
      <c r="AI27" s="101">
        <f t="shared" si="15"/>
        <v>7.6271186440677967</v>
      </c>
      <c r="AJ27" s="101">
        <v>9</v>
      </c>
      <c r="AK27" s="101">
        <f t="shared" si="16"/>
        <v>1587.6000000000001</v>
      </c>
      <c r="AL27" s="102">
        <f>10.3+21.5</f>
        <v>31.8</v>
      </c>
      <c r="AM27" s="101">
        <f t="shared" si="17"/>
        <v>11.864406779661017</v>
      </c>
      <c r="AN27" s="101">
        <v>14</v>
      </c>
      <c r="AO27" s="101">
        <f t="shared" si="18"/>
        <v>445.2</v>
      </c>
      <c r="AP27" s="101">
        <f t="shared" si="19"/>
        <v>5383.8559322033907</v>
      </c>
      <c r="AQ27" s="101">
        <f t="shared" si="1"/>
        <v>6352.9500000000007</v>
      </c>
      <c r="AR27" s="102">
        <v>730.1</v>
      </c>
      <c r="AS27" s="101" t="s">
        <v>270</v>
      </c>
      <c r="AT27" s="103">
        <v>0</v>
      </c>
      <c r="AU27" s="103">
        <f t="shared" si="20"/>
        <v>5.0847457627118651</v>
      </c>
      <c r="AV27" s="103">
        <v>6</v>
      </c>
      <c r="AW27" s="103">
        <f t="shared" si="24"/>
        <v>3712.3728813559328</v>
      </c>
      <c r="AX27" s="103">
        <f t="shared" si="21"/>
        <v>4380.6000000000004</v>
      </c>
      <c r="AY27" s="104">
        <f t="shared" si="2"/>
        <v>9096.2288135593226</v>
      </c>
      <c r="AZ27" s="105">
        <f t="shared" si="3"/>
        <v>10733.550000000001</v>
      </c>
      <c r="BA27" s="9"/>
      <c r="BB27" s="9"/>
      <c r="BC27" s="9"/>
      <c r="BD27" s="9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</row>
    <row r="28" spans="1:88" s="4" customFormat="1" ht="228.75" outlineLevel="1" x14ac:dyDescent="0.25">
      <c r="A28" s="97">
        <f t="shared" si="25"/>
        <v>17</v>
      </c>
      <c r="B28" s="98" t="s">
        <v>16</v>
      </c>
      <c r="C28" s="125" t="s">
        <v>53</v>
      </c>
      <c r="D28" s="99" t="s">
        <v>19</v>
      </c>
      <c r="E28" s="100">
        <f t="shared" si="0"/>
        <v>2134.5</v>
      </c>
      <c r="F28" s="101">
        <v>0</v>
      </c>
      <c r="G28" s="101">
        <v>0</v>
      </c>
      <c r="H28" s="101">
        <v>0</v>
      </c>
      <c r="I28" s="101">
        <f t="shared" si="4"/>
        <v>0</v>
      </c>
      <c r="J28" s="100">
        <v>36</v>
      </c>
      <c r="K28" s="101">
        <f t="shared" si="5"/>
        <v>11.864406779661017</v>
      </c>
      <c r="L28" s="101">
        <v>14</v>
      </c>
      <c r="M28" s="101">
        <f t="shared" si="6"/>
        <v>504</v>
      </c>
      <c r="N28" s="102">
        <v>457.7</v>
      </c>
      <c r="O28" s="101">
        <f t="shared" si="7"/>
        <v>4.2372881355932206</v>
      </c>
      <c r="P28" s="101">
        <v>5</v>
      </c>
      <c r="Q28" s="101">
        <f t="shared" si="8"/>
        <v>2288.5</v>
      </c>
      <c r="R28" s="100">
        <v>0</v>
      </c>
      <c r="S28" s="101">
        <f t="shared" si="9"/>
        <v>14.40677966101695</v>
      </c>
      <c r="T28" s="101">
        <v>17</v>
      </c>
      <c r="U28" s="101">
        <f t="shared" si="10"/>
        <v>0</v>
      </c>
      <c r="V28" s="101">
        <v>92.8</v>
      </c>
      <c r="W28" s="101">
        <f t="shared" si="47"/>
        <v>5.9322033898305087</v>
      </c>
      <c r="X28" s="101">
        <v>7</v>
      </c>
      <c r="Y28" s="101">
        <f t="shared" si="11"/>
        <v>649.6</v>
      </c>
      <c r="Z28" s="100">
        <v>1054.8</v>
      </c>
      <c r="AA28" s="101">
        <f t="shared" si="23"/>
        <v>5.5084745762711869</v>
      </c>
      <c r="AB28" s="101">
        <v>6.5</v>
      </c>
      <c r="AC28" s="101">
        <f t="shared" si="13"/>
        <v>6856.2</v>
      </c>
      <c r="AD28" s="101">
        <v>0</v>
      </c>
      <c r="AE28" s="101"/>
      <c r="AF28" s="101"/>
      <c r="AG28" s="101">
        <f t="shared" si="14"/>
        <v>0</v>
      </c>
      <c r="AH28" s="102">
        <v>476.5</v>
      </c>
      <c r="AI28" s="101">
        <f t="shared" si="15"/>
        <v>7.6271186440677967</v>
      </c>
      <c r="AJ28" s="101">
        <v>9</v>
      </c>
      <c r="AK28" s="101">
        <f t="shared" si="16"/>
        <v>4288.5</v>
      </c>
      <c r="AL28" s="102">
        <v>16.7</v>
      </c>
      <c r="AM28" s="101">
        <f t="shared" si="17"/>
        <v>11.864406779661017</v>
      </c>
      <c r="AN28" s="101">
        <v>14</v>
      </c>
      <c r="AO28" s="101">
        <f t="shared" si="18"/>
        <v>233.79999999999998</v>
      </c>
      <c r="AP28" s="101">
        <f t="shared" si="19"/>
        <v>12559.830508474575</v>
      </c>
      <c r="AQ28" s="101">
        <f t="shared" si="1"/>
        <v>14820.599999999999</v>
      </c>
      <c r="AR28" s="102">
        <v>2880</v>
      </c>
      <c r="AS28" s="101" t="s">
        <v>270</v>
      </c>
      <c r="AT28" s="103">
        <v>0</v>
      </c>
      <c r="AU28" s="103">
        <f t="shared" si="20"/>
        <v>5.0847457627118651</v>
      </c>
      <c r="AV28" s="103">
        <v>6</v>
      </c>
      <c r="AW28" s="103">
        <f t="shared" si="24"/>
        <v>14644.067796610172</v>
      </c>
      <c r="AX28" s="103">
        <f t="shared" si="21"/>
        <v>17280</v>
      </c>
      <c r="AY28" s="104">
        <f t="shared" si="2"/>
        <v>27203.898305084746</v>
      </c>
      <c r="AZ28" s="105">
        <f t="shared" si="3"/>
        <v>32100.6</v>
      </c>
      <c r="BA28" s="9"/>
      <c r="BB28" s="9"/>
      <c r="BC28" s="9"/>
      <c r="BD28" s="9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</row>
    <row r="29" spans="1:88" s="4" customFormat="1" ht="228.75" outlineLevel="1" x14ac:dyDescent="0.25">
      <c r="A29" s="97">
        <v>18</v>
      </c>
      <c r="B29" s="98" t="s">
        <v>16</v>
      </c>
      <c r="C29" s="125" t="s">
        <v>263</v>
      </c>
      <c r="D29" s="99" t="s">
        <v>19</v>
      </c>
      <c r="E29" s="100">
        <f t="shared" si="0"/>
        <v>1092.3999999999999</v>
      </c>
      <c r="F29" s="101">
        <v>0</v>
      </c>
      <c r="G29" s="101">
        <v>0</v>
      </c>
      <c r="H29" s="101">
        <v>0</v>
      </c>
      <c r="I29" s="101">
        <f t="shared" si="4"/>
        <v>0</v>
      </c>
      <c r="J29" s="100">
        <v>756.9</v>
      </c>
      <c r="K29" s="101">
        <f t="shared" si="5"/>
        <v>11.864406779661017</v>
      </c>
      <c r="L29" s="101">
        <v>14</v>
      </c>
      <c r="M29" s="101">
        <f t="shared" si="6"/>
        <v>10596.6</v>
      </c>
      <c r="N29" s="102">
        <v>0</v>
      </c>
      <c r="O29" s="101">
        <f t="shared" si="7"/>
        <v>4.2372881355932206</v>
      </c>
      <c r="P29" s="101">
        <v>5</v>
      </c>
      <c r="Q29" s="101">
        <f t="shared" si="8"/>
        <v>0</v>
      </c>
      <c r="R29" s="100">
        <v>0</v>
      </c>
      <c r="S29" s="101">
        <f t="shared" si="9"/>
        <v>14.40677966101695</v>
      </c>
      <c r="T29" s="101">
        <v>17</v>
      </c>
      <c r="U29" s="101">
        <f t="shared" si="10"/>
        <v>0</v>
      </c>
      <c r="V29" s="101">
        <v>0</v>
      </c>
      <c r="W29" s="101">
        <f t="shared" si="47"/>
        <v>5.9322033898305087</v>
      </c>
      <c r="X29" s="101">
        <v>7</v>
      </c>
      <c r="Y29" s="101">
        <f t="shared" si="11"/>
        <v>0</v>
      </c>
      <c r="Z29" s="100">
        <v>324.39999999999998</v>
      </c>
      <c r="AA29" s="101">
        <f t="shared" si="23"/>
        <v>5.5084745762711869</v>
      </c>
      <c r="AB29" s="101">
        <v>6.5</v>
      </c>
      <c r="AC29" s="101">
        <f t="shared" si="13"/>
        <v>2108.6</v>
      </c>
      <c r="AD29" s="101">
        <v>0</v>
      </c>
      <c r="AE29" s="101"/>
      <c r="AF29" s="101"/>
      <c r="AG29" s="101">
        <f t="shared" si="14"/>
        <v>0</v>
      </c>
      <c r="AH29" s="102">
        <v>0</v>
      </c>
      <c r="AI29" s="101">
        <f t="shared" si="15"/>
        <v>7.6271186440677967</v>
      </c>
      <c r="AJ29" s="101">
        <v>9</v>
      </c>
      <c r="AK29" s="101">
        <f t="shared" si="16"/>
        <v>0</v>
      </c>
      <c r="AL29" s="102">
        <v>11.1</v>
      </c>
      <c r="AM29" s="101">
        <f t="shared" si="17"/>
        <v>11.864406779661017</v>
      </c>
      <c r="AN29" s="101">
        <v>14</v>
      </c>
      <c r="AO29" s="101">
        <f t="shared" si="18"/>
        <v>155.4</v>
      </c>
      <c r="AP29" s="101">
        <f t="shared" si="19"/>
        <v>10898.813559322034</v>
      </c>
      <c r="AQ29" s="101">
        <f t="shared" si="1"/>
        <v>12860.6</v>
      </c>
      <c r="AR29" s="102">
        <v>4157.2</v>
      </c>
      <c r="AS29" s="101" t="s">
        <v>270</v>
      </c>
      <c r="AT29" s="103">
        <v>0</v>
      </c>
      <c r="AU29" s="103">
        <f t="shared" si="20"/>
        <v>5.0847457627118651</v>
      </c>
      <c r="AV29" s="103">
        <v>6</v>
      </c>
      <c r="AW29" s="103">
        <f t="shared" si="24"/>
        <v>21138.305084745763</v>
      </c>
      <c r="AX29" s="103">
        <f t="shared" si="21"/>
        <v>24943.199999999997</v>
      </c>
      <c r="AY29" s="104">
        <f t="shared" si="2"/>
        <v>32037.118644067799</v>
      </c>
      <c r="AZ29" s="105">
        <f t="shared" si="3"/>
        <v>37803.799999999996</v>
      </c>
      <c r="BA29" s="9"/>
      <c r="BB29" s="9"/>
      <c r="BC29" s="9"/>
      <c r="BD29" s="9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</row>
    <row r="30" spans="1:88" s="4" customFormat="1" ht="90" outlineLevel="1" x14ac:dyDescent="0.25">
      <c r="A30" s="97"/>
      <c r="B30" s="131" t="s">
        <v>278</v>
      </c>
      <c r="C30" s="125"/>
      <c r="D30" s="99"/>
      <c r="E30" s="100"/>
      <c r="F30" s="101"/>
      <c r="G30" s="101">
        <v>0</v>
      </c>
      <c r="H30" s="101">
        <v>0</v>
      </c>
      <c r="I30" s="101"/>
      <c r="J30" s="100"/>
      <c r="K30" s="101"/>
      <c r="L30" s="101"/>
      <c r="M30" s="101"/>
      <c r="N30" s="102"/>
      <c r="O30" s="101"/>
      <c r="P30" s="101"/>
      <c r="Q30" s="101"/>
      <c r="R30" s="100"/>
      <c r="S30" s="101"/>
      <c r="T30" s="101"/>
      <c r="U30" s="101"/>
      <c r="V30" s="101"/>
      <c r="W30" s="101"/>
      <c r="X30" s="101"/>
      <c r="Y30" s="101"/>
      <c r="Z30" s="100"/>
      <c r="AA30" s="101"/>
      <c r="AB30" s="101"/>
      <c r="AC30" s="101"/>
      <c r="AD30" s="101"/>
      <c r="AE30" s="101"/>
      <c r="AF30" s="101"/>
      <c r="AG30" s="101"/>
      <c r="AH30" s="102"/>
      <c r="AI30" s="101"/>
      <c r="AJ30" s="101"/>
      <c r="AK30" s="101"/>
      <c r="AL30" s="102"/>
      <c r="AM30" s="101"/>
      <c r="AN30" s="101"/>
      <c r="AO30" s="101"/>
      <c r="AP30" s="101"/>
      <c r="AQ30" s="101"/>
      <c r="AR30" s="102"/>
      <c r="AS30" s="101"/>
      <c r="AT30" s="103"/>
      <c r="AU30" s="103"/>
      <c r="AV30" s="103"/>
      <c r="AW30" s="103"/>
      <c r="AX30" s="103"/>
      <c r="AY30" s="104"/>
      <c r="AZ30" s="105"/>
      <c r="BA30" s="9"/>
      <c r="BB30" s="9"/>
      <c r="BC30" s="9"/>
      <c r="BD30" s="9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</row>
    <row r="31" spans="1:88" s="4" customFormat="1" ht="228.75" outlineLevel="1" x14ac:dyDescent="0.25">
      <c r="A31" s="132">
        <v>19</v>
      </c>
      <c r="B31" s="128" t="s">
        <v>277</v>
      </c>
      <c r="C31" s="125" t="s">
        <v>280</v>
      </c>
      <c r="D31" s="133" t="s">
        <v>19</v>
      </c>
      <c r="E31" s="126">
        <f t="shared" ref="E31:E41" si="48">F31+J31+N31+R31+V31+Z31+AD31+AH31+AL31</f>
        <v>672.69999999999993</v>
      </c>
      <c r="F31" s="134">
        <v>0</v>
      </c>
      <c r="G31" s="101">
        <v>0</v>
      </c>
      <c r="H31" s="101">
        <v>0</v>
      </c>
      <c r="I31" s="134">
        <f t="shared" si="4"/>
        <v>0</v>
      </c>
      <c r="J31" s="126">
        <v>141.30000000000001</v>
      </c>
      <c r="K31" s="134">
        <f t="shared" si="5"/>
        <v>11.864406779661017</v>
      </c>
      <c r="L31" s="134">
        <v>14</v>
      </c>
      <c r="M31" s="134">
        <f t="shared" si="6"/>
        <v>1978.2000000000003</v>
      </c>
      <c r="N31" s="135">
        <v>99.7</v>
      </c>
      <c r="O31" s="134">
        <f t="shared" si="7"/>
        <v>4.2372881355932206</v>
      </c>
      <c r="P31" s="134">
        <v>5</v>
      </c>
      <c r="Q31" s="134">
        <f t="shared" si="8"/>
        <v>498.5</v>
      </c>
      <c r="R31" s="126">
        <v>138</v>
      </c>
      <c r="S31" s="134">
        <f t="shared" si="9"/>
        <v>14.40677966101695</v>
      </c>
      <c r="T31" s="134">
        <v>17</v>
      </c>
      <c r="U31" s="134">
        <f t="shared" si="10"/>
        <v>2346</v>
      </c>
      <c r="V31" s="134">
        <v>23</v>
      </c>
      <c r="W31" s="134">
        <f t="shared" si="47"/>
        <v>5.9322033898305087</v>
      </c>
      <c r="X31" s="134">
        <v>7</v>
      </c>
      <c r="Y31" s="134">
        <f t="shared" si="11"/>
        <v>161</v>
      </c>
      <c r="Z31" s="126">
        <v>0</v>
      </c>
      <c r="AA31" s="134">
        <f t="shared" si="23"/>
        <v>5.5084745762711869</v>
      </c>
      <c r="AB31" s="134">
        <v>6.5</v>
      </c>
      <c r="AC31" s="134">
        <f t="shared" si="13"/>
        <v>0</v>
      </c>
      <c r="AD31" s="134">
        <v>0</v>
      </c>
      <c r="AE31" s="134"/>
      <c r="AF31" s="134"/>
      <c r="AG31" s="134">
        <f t="shared" si="14"/>
        <v>0</v>
      </c>
      <c r="AH31" s="135">
        <v>250.8</v>
      </c>
      <c r="AI31" s="134">
        <f t="shared" si="15"/>
        <v>7.6271186440677967</v>
      </c>
      <c r="AJ31" s="134">
        <v>9</v>
      </c>
      <c r="AK31" s="134">
        <f t="shared" si="16"/>
        <v>2257.2000000000003</v>
      </c>
      <c r="AL31" s="135">
        <v>19.899999999999999</v>
      </c>
      <c r="AM31" s="134">
        <f t="shared" si="17"/>
        <v>11.864406779661017</v>
      </c>
      <c r="AN31" s="134">
        <v>14</v>
      </c>
      <c r="AO31" s="134">
        <f t="shared" si="18"/>
        <v>278.59999999999997</v>
      </c>
      <c r="AP31" s="134">
        <f t="shared" si="19"/>
        <v>6372.4576271186461</v>
      </c>
      <c r="AQ31" s="134">
        <f t="shared" ref="AQ31:AQ41" si="49">I31+M31+Q31+U31+Y31+AC31+AG31+AK31+AO31</f>
        <v>7519.5000000000018</v>
      </c>
      <c r="AR31" s="135">
        <v>147</v>
      </c>
      <c r="AS31" s="134" t="s">
        <v>270</v>
      </c>
      <c r="AT31" s="136">
        <v>0</v>
      </c>
      <c r="AU31" s="136">
        <f t="shared" si="20"/>
        <v>5.0847457627118651</v>
      </c>
      <c r="AV31" s="136">
        <v>6</v>
      </c>
      <c r="AW31" s="136">
        <f t="shared" si="24"/>
        <v>747.45762711864415</v>
      </c>
      <c r="AX31" s="136">
        <f t="shared" si="21"/>
        <v>882</v>
      </c>
      <c r="AY31" s="137">
        <f t="shared" si="2"/>
        <v>7119.9152542372904</v>
      </c>
      <c r="AZ31" s="138">
        <f t="shared" si="3"/>
        <v>8401.5000000000018</v>
      </c>
      <c r="BA31" s="9"/>
      <c r="BB31" s="9"/>
      <c r="BC31" s="9"/>
      <c r="BD31" s="9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</row>
    <row r="32" spans="1:88" s="4" customFormat="1" ht="228.75" outlineLevel="1" x14ac:dyDescent="0.25">
      <c r="A32" s="132">
        <v>20</v>
      </c>
      <c r="B32" s="128" t="s">
        <v>277</v>
      </c>
      <c r="C32" s="125" t="s">
        <v>279</v>
      </c>
      <c r="D32" s="133" t="s">
        <v>19</v>
      </c>
      <c r="E32" s="126">
        <f t="shared" si="48"/>
        <v>376</v>
      </c>
      <c r="F32" s="134">
        <v>0</v>
      </c>
      <c r="G32" s="101">
        <v>0</v>
      </c>
      <c r="H32" s="101">
        <v>0</v>
      </c>
      <c r="I32" s="134">
        <f t="shared" si="4"/>
        <v>0</v>
      </c>
      <c r="J32" s="126">
        <v>0</v>
      </c>
      <c r="K32" s="134">
        <f t="shared" si="5"/>
        <v>11.864406779661017</v>
      </c>
      <c r="L32" s="134">
        <v>14</v>
      </c>
      <c r="M32" s="134">
        <f t="shared" si="6"/>
        <v>0</v>
      </c>
      <c r="N32" s="135">
        <v>210</v>
      </c>
      <c r="O32" s="134">
        <f t="shared" si="7"/>
        <v>4.2372881355932206</v>
      </c>
      <c r="P32" s="134">
        <v>5</v>
      </c>
      <c r="Q32" s="134">
        <f t="shared" si="8"/>
        <v>1050</v>
      </c>
      <c r="R32" s="126">
        <v>0</v>
      </c>
      <c r="S32" s="134">
        <f t="shared" si="9"/>
        <v>14.40677966101695</v>
      </c>
      <c r="T32" s="134">
        <v>17</v>
      </c>
      <c r="U32" s="134">
        <f t="shared" si="10"/>
        <v>0</v>
      </c>
      <c r="V32" s="134">
        <v>10.8</v>
      </c>
      <c r="W32" s="134">
        <f t="shared" si="47"/>
        <v>5.9322033898305087</v>
      </c>
      <c r="X32" s="134">
        <v>7</v>
      </c>
      <c r="Y32" s="134">
        <f t="shared" si="11"/>
        <v>75.600000000000009</v>
      </c>
      <c r="Z32" s="126">
        <v>0</v>
      </c>
      <c r="AA32" s="134">
        <f t="shared" si="23"/>
        <v>5.5084745762711869</v>
      </c>
      <c r="AB32" s="134">
        <v>6.5</v>
      </c>
      <c r="AC32" s="134">
        <f t="shared" si="13"/>
        <v>0</v>
      </c>
      <c r="AD32" s="134">
        <v>0</v>
      </c>
      <c r="AE32" s="134"/>
      <c r="AF32" s="134"/>
      <c r="AG32" s="134">
        <f t="shared" si="14"/>
        <v>0</v>
      </c>
      <c r="AH32" s="135">
        <v>149.19999999999999</v>
      </c>
      <c r="AI32" s="134">
        <f t="shared" si="15"/>
        <v>7.6271186440677967</v>
      </c>
      <c r="AJ32" s="134">
        <v>9</v>
      </c>
      <c r="AK32" s="134">
        <f t="shared" si="16"/>
        <v>1342.8</v>
      </c>
      <c r="AL32" s="135">
        <v>6</v>
      </c>
      <c r="AM32" s="134">
        <f t="shared" si="17"/>
        <v>11.864406779661017</v>
      </c>
      <c r="AN32" s="134">
        <v>14</v>
      </c>
      <c r="AO32" s="134">
        <f t="shared" si="18"/>
        <v>84</v>
      </c>
      <c r="AP32" s="134">
        <f t="shared" si="19"/>
        <v>2163.0508474576268</v>
      </c>
      <c r="AQ32" s="134">
        <f t="shared" si="49"/>
        <v>2552.3999999999996</v>
      </c>
      <c r="AR32" s="135">
        <v>200</v>
      </c>
      <c r="AS32" s="134" t="s">
        <v>270</v>
      </c>
      <c r="AT32" s="136">
        <v>0</v>
      </c>
      <c r="AU32" s="136">
        <f t="shared" si="20"/>
        <v>5.0847457627118651</v>
      </c>
      <c r="AV32" s="136">
        <v>6</v>
      </c>
      <c r="AW32" s="136">
        <f t="shared" si="24"/>
        <v>1016.949152542373</v>
      </c>
      <c r="AX32" s="136">
        <f t="shared" si="21"/>
        <v>1200</v>
      </c>
      <c r="AY32" s="137">
        <f t="shared" si="2"/>
        <v>3180</v>
      </c>
      <c r="AZ32" s="138">
        <f t="shared" si="3"/>
        <v>3752.3999999999996</v>
      </c>
      <c r="BA32" s="9"/>
      <c r="BB32" s="9"/>
      <c r="BC32" s="9"/>
      <c r="BD32" s="9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</row>
    <row r="33" spans="1:93" s="4" customFormat="1" ht="183" outlineLevel="1" x14ac:dyDescent="0.25">
      <c r="A33" s="132">
        <v>21</v>
      </c>
      <c r="B33" s="128" t="s">
        <v>277</v>
      </c>
      <c r="C33" s="125" t="s">
        <v>281</v>
      </c>
      <c r="D33" s="133" t="s">
        <v>19</v>
      </c>
      <c r="E33" s="126">
        <f t="shared" si="48"/>
        <v>620.09999999999991</v>
      </c>
      <c r="F33" s="134">
        <v>0</v>
      </c>
      <c r="G33" s="101">
        <v>0</v>
      </c>
      <c r="H33" s="101">
        <v>0</v>
      </c>
      <c r="I33" s="134">
        <f t="shared" si="4"/>
        <v>0</v>
      </c>
      <c r="J33" s="126">
        <v>202.4</v>
      </c>
      <c r="K33" s="134">
        <f t="shared" si="5"/>
        <v>11.864406779661017</v>
      </c>
      <c r="L33" s="134">
        <v>14</v>
      </c>
      <c r="M33" s="134">
        <f t="shared" si="6"/>
        <v>2833.6</v>
      </c>
      <c r="N33" s="135">
        <v>44.8</v>
      </c>
      <c r="O33" s="134">
        <f t="shared" si="7"/>
        <v>4.2372881355932206</v>
      </c>
      <c r="P33" s="134">
        <v>5</v>
      </c>
      <c r="Q33" s="134">
        <f t="shared" si="8"/>
        <v>224</v>
      </c>
      <c r="R33" s="126">
        <v>84.6</v>
      </c>
      <c r="S33" s="134">
        <f t="shared" si="9"/>
        <v>14.40677966101695</v>
      </c>
      <c r="T33" s="134">
        <v>17</v>
      </c>
      <c r="U33" s="134">
        <f t="shared" si="10"/>
        <v>1438.1999999999998</v>
      </c>
      <c r="V33" s="134">
        <v>79.599999999999994</v>
      </c>
      <c r="W33" s="134">
        <f t="shared" si="47"/>
        <v>5.9322033898305087</v>
      </c>
      <c r="X33" s="134">
        <v>7</v>
      </c>
      <c r="Y33" s="134">
        <f t="shared" si="11"/>
        <v>557.19999999999993</v>
      </c>
      <c r="Z33" s="126">
        <v>85.7</v>
      </c>
      <c r="AA33" s="134">
        <f t="shared" si="23"/>
        <v>5.5084745762711869</v>
      </c>
      <c r="AB33" s="134">
        <v>6.5</v>
      </c>
      <c r="AC33" s="134">
        <f t="shared" si="13"/>
        <v>557.05000000000007</v>
      </c>
      <c r="AD33" s="134">
        <v>0</v>
      </c>
      <c r="AE33" s="134"/>
      <c r="AF33" s="134"/>
      <c r="AG33" s="134">
        <f t="shared" si="14"/>
        <v>0</v>
      </c>
      <c r="AH33" s="135">
        <v>117.1</v>
      </c>
      <c r="AI33" s="134">
        <f t="shared" si="15"/>
        <v>7.6271186440677967</v>
      </c>
      <c r="AJ33" s="134">
        <v>9</v>
      </c>
      <c r="AK33" s="134">
        <f t="shared" si="16"/>
        <v>1053.8999999999999</v>
      </c>
      <c r="AL33" s="135">
        <v>5.9</v>
      </c>
      <c r="AM33" s="134">
        <f t="shared" si="17"/>
        <v>11.864406779661017</v>
      </c>
      <c r="AN33" s="134">
        <v>14</v>
      </c>
      <c r="AO33" s="134">
        <f t="shared" si="18"/>
        <v>82.600000000000009</v>
      </c>
      <c r="AP33" s="134">
        <f t="shared" si="19"/>
        <v>5717.4152542372876</v>
      </c>
      <c r="AQ33" s="134">
        <f t="shared" si="49"/>
        <v>6746.5499999999993</v>
      </c>
      <c r="AR33" s="135">
        <v>306</v>
      </c>
      <c r="AS33" s="134" t="s">
        <v>270</v>
      </c>
      <c r="AT33" s="136">
        <v>0</v>
      </c>
      <c r="AU33" s="136">
        <f t="shared" si="20"/>
        <v>5.0847457627118651</v>
      </c>
      <c r="AV33" s="136">
        <v>6</v>
      </c>
      <c r="AW33" s="136">
        <f t="shared" si="24"/>
        <v>1555.9322033898306</v>
      </c>
      <c r="AX33" s="136">
        <f t="shared" si="21"/>
        <v>1836</v>
      </c>
      <c r="AY33" s="137">
        <f t="shared" si="2"/>
        <v>7273.3474576271183</v>
      </c>
      <c r="AZ33" s="138">
        <f t="shared" si="3"/>
        <v>8582.5499999999993</v>
      </c>
      <c r="BA33" s="9"/>
      <c r="BB33" s="9"/>
      <c r="BC33" s="9"/>
      <c r="BD33" s="9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</row>
    <row r="34" spans="1:93" s="4" customFormat="1" ht="366" outlineLevel="1" x14ac:dyDescent="0.25">
      <c r="A34" s="132">
        <v>22</v>
      </c>
      <c r="B34" s="128" t="s">
        <v>277</v>
      </c>
      <c r="C34" s="127" t="s">
        <v>282</v>
      </c>
      <c r="D34" s="133" t="s">
        <v>19</v>
      </c>
      <c r="E34" s="126">
        <f t="shared" si="48"/>
        <v>406.5</v>
      </c>
      <c r="F34" s="134">
        <v>0</v>
      </c>
      <c r="G34" s="101">
        <v>0</v>
      </c>
      <c r="H34" s="101">
        <v>0</v>
      </c>
      <c r="I34" s="134">
        <f t="shared" si="4"/>
        <v>0</v>
      </c>
      <c r="J34" s="126">
        <v>89.9</v>
      </c>
      <c r="K34" s="134">
        <f t="shared" si="5"/>
        <v>11.864406779661017</v>
      </c>
      <c r="L34" s="134">
        <v>14</v>
      </c>
      <c r="M34" s="134">
        <f t="shared" si="6"/>
        <v>1258.6000000000001</v>
      </c>
      <c r="N34" s="135">
        <v>22.8</v>
      </c>
      <c r="O34" s="134">
        <f t="shared" si="7"/>
        <v>4.2372881355932206</v>
      </c>
      <c r="P34" s="134">
        <v>5</v>
      </c>
      <c r="Q34" s="134">
        <f t="shared" si="8"/>
        <v>114</v>
      </c>
      <c r="R34" s="126">
        <v>0</v>
      </c>
      <c r="S34" s="134">
        <f t="shared" si="9"/>
        <v>14.40677966101695</v>
      </c>
      <c r="T34" s="134">
        <v>17</v>
      </c>
      <c r="U34" s="134">
        <f t="shared" si="10"/>
        <v>0</v>
      </c>
      <c r="V34" s="134">
        <v>56.3</v>
      </c>
      <c r="W34" s="134">
        <f t="shared" si="47"/>
        <v>5.9322033898305087</v>
      </c>
      <c r="X34" s="134">
        <v>7</v>
      </c>
      <c r="Y34" s="134">
        <f t="shared" si="11"/>
        <v>394.09999999999997</v>
      </c>
      <c r="Z34" s="126">
        <v>50.4</v>
      </c>
      <c r="AA34" s="134">
        <f t="shared" si="23"/>
        <v>5.5084745762711869</v>
      </c>
      <c r="AB34" s="134">
        <v>6.5</v>
      </c>
      <c r="AC34" s="134">
        <f t="shared" si="13"/>
        <v>327.59999999999997</v>
      </c>
      <c r="AD34" s="134">
        <v>0</v>
      </c>
      <c r="AE34" s="134"/>
      <c r="AF34" s="134"/>
      <c r="AG34" s="134">
        <f t="shared" si="14"/>
        <v>0</v>
      </c>
      <c r="AH34" s="135">
        <v>184.9</v>
      </c>
      <c r="AI34" s="134">
        <f t="shared" si="15"/>
        <v>7.6271186440677967</v>
      </c>
      <c r="AJ34" s="134">
        <v>9</v>
      </c>
      <c r="AK34" s="134">
        <f t="shared" si="16"/>
        <v>1664.1000000000001</v>
      </c>
      <c r="AL34" s="135">
        <v>2.2000000000000002</v>
      </c>
      <c r="AM34" s="134">
        <f t="shared" si="17"/>
        <v>11.864406779661017</v>
      </c>
      <c r="AN34" s="134">
        <v>14</v>
      </c>
      <c r="AO34" s="134">
        <f t="shared" si="18"/>
        <v>30.800000000000004</v>
      </c>
      <c r="AP34" s="134">
        <f t="shared" si="19"/>
        <v>3211.1864406779669</v>
      </c>
      <c r="AQ34" s="134">
        <f t="shared" si="49"/>
        <v>3789.2000000000007</v>
      </c>
      <c r="AR34" s="135">
        <v>359</v>
      </c>
      <c r="AS34" s="134" t="s">
        <v>270</v>
      </c>
      <c r="AT34" s="136">
        <v>0</v>
      </c>
      <c r="AU34" s="136">
        <f t="shared" si="20"/>
        <v>5.0847457627118651</v>
      </c>
      <c r="AV34" s="136">
        <v>6</v>
      </c>
      <c r="AW34" s="136">
        <f t="shared" si="24"/>
        <v>1825.4237288135596</v>
      </c>
      <c r="AX34" s="136">
        <f t="shared" si="21"/>
        <v>2154</v>
      </c>
      <c r="AY34" s="137">
        <f t="shared" si="2"/>
        <v>5036.6101694915269</v>
      </c>
      <c r="AZ34" s="138">
        <f t="shared" si="3"/>
        <v>5943.2000000000007</v>
      </c>
      <c r="BA34" s="9"/>
      <c r="BB34" s="9"/>
      <c r="BC34" s="9"/>
      <c r="BD34" s="9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</row>
    <row r="35" spans="1:93" s="4" customFormat="1" ht="274.5" outlineLevel="1" x14ac:dyDescent="0.25">
      <c r="A35" s="132">
        <v>23</v>
      </c>
      <c r="B35" s="128" t="s">
        <v>277</v>
      </c>
      <c r="C35" s="127" t="s">
        <v>283</v>
      </c>
      <c r="D35" s="133" t="s">
        <v>19</v>
      </c>
      <c r="E35" s="126">
        <f t="shared" si="48"/>
        <v>26.2</v>
      </c>
      <c r="F35" s="134">
        <v>0</v>
      </c>
      <c r="G35" s="101">
        <v>0</v>
      </c>
      <c r="H35" s="101">
        <v>0</v>
      </c>
      <c r="I35" s="134">
        <f t="shared" si="4"/>
        <v>0</v>
      </c>
      <c r="J35" s="126">
        <v>0</v>
      </c>
      <c r="K35" s="134">
        <f t="shared" si="5"/>
        <v>11.864406779661017</v>
      </c>
      <c r="L35" s="134">
        <v>14</v>
      </c>
      <c r="M35" s="134">
        <f t="shared" si="6"/>
        <v>0</v>
      </c>
      <c r="N35" s="135">
        <v>12.6</v>
      </c>
      <c r="O35" s="134">
        <f t="shared" si="7"/>
        <v>4.2372881355932206</v>
      </c>
      <c r="P35" s="134">
        <v>5</v>
      </c>
      <c r="Q35" s="134">
        <f t="shared" si="8"/>
        <v>63</v>
      </c>
      <c r="R35" s="126">
        <v>0</v>
      </c>
      <c r="S35" s="134">
        <f t="shared" si="9"/>
        <v>14.40677966101695</v>
      </c>
      <c r="T35" s="134">
        <v>17</v>
      </c>
      <c r="U35" s="134">
        <f t="shared" si="10"/>
        <v>0</v>
      </c>
      <c r="V35" s="134">
        <v>0</v>
      </c>
      <c r="W35" s="134">
        <f t="shared" si="47"/>
        <v>5.9322033898305087</v>
      </c>
      <c r="X35" s="134">
        <v>7</v>
      </c>
      <c r="Y35" s="134">
        <f t="shared" si="11"/>
        <v>0</v>
      </c>
      <c r="Z35" s="126">
        <v>13.6</v>
      </c>
      <c r="AA35" s="134">
        <f t="shared" si="23"/>
        <v>5.5084745762711869</v>
      </c>
      <c r="AB35" s="134">
        <v>6.5</v>
      </c>
      <c r="AC35" s="134">
        <f t="shared" si="13"/>
        <v>88.399999999999991</v>
      </c>
      <c r="AD35" s="134">
        <v>0</v>
      </c>
      <c r="AE35" s="134"/>
      <c r="AF35" s="134"/>
      <c r="AG35" s="134">
        <f t="shared" si="14"/>
        <v>0</v>
      </c>
      <c r="AH35" s="135">
        <v>0</v>
      </c>
      <c r="AI35" s="134">
        <f t="shared" si="15"/>
        <v>7.6271186440677967</v>
      </c>
      <c r="AJ35" s="134">
        <v>9</v>
      </c>
      <c r="AK35" s="134">
        <f t="shared" si="16"/>
        <v>0</v>
      </c>
      <c r="AL35" s="135">
        <v>0</v>
      </c>
      <c r="AM35" s="134">
        <f t="shared" si="17"/>
        <v>11.864406779661017</v>
      </c>
      <c r="AN35" s="134">
        <v>14</v>
      </c>
      <c r="AO35" s="134">
        <f t="shared" si="18"/>
        <v>0</v>
      </c>
      <c r="AP35" s="134">
        <f t="shared" si="19"/>
        <v>128.30508474576271</v>
      </c>
      <c r="AQ35" s="134">
        <f t="shared" si="49"/>
        <v>151.39999999999998</v>
      </c>
      <c r="AR35" s="135">
        <v>412</v>
      </c>
      <c r="AS35" s="134" t="s">
        <v>270</v>
      </c>
      <c r="AT35" s="136">
        <v>0</v>
      </c>
      <c r="AU35" s="136">
        <f t="shared" si="20"/>
        <v>5.0847457627118651</v>
      </c>
      <c r="AV35" s="136">
        <v>6</v>
      </c>
      <c r="AW35" s="136">
        <f t="shared" si="24"/>
        <v>2094.9152542372885</v>
      </c>
      <c r="AX35" s="136">
        <f t="shared" si="21"/>
        <v>2472</v>
      </c>
      <c r="AY35" s="137">
        <f t="shared" si="2"/>
        <v>2223.2203389830511</v>
      </c>
      <c r="AZ35" s="138">
        <f t="shared" si="3"/>
        <v>2623.4</v>
      </c>
      <c r="BA35" s="9"/>
      <c r="BB35" s="9"/>
      <c r="BC35" s="9"/>
      <c r="BD35" s="9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</row>
    <row r="36" spans="1:93" s="4" customFormat="1" ht="320.25" outlineLevel="1" x14ac:dyDescent="0.25">
      <c r="A36" s="132">
        <v>24</v>
      </c>
      <c r="B36" s="128" t="s">
        <v>277</v>
      </c>
      <c r="C36" s="127" t="s">
        <v>284</v>
      </c>
      <c r="D36" s="133" t="s">
        <v>19</v>
      </c>
      <c r="E36" s="126">
        <f t="shared" si="48"/>
        <v>87.5</v>
      </c>
      <c r="F36" s="134">
        <v>0</v>
      </c>
      <c r="G36" s="101">
        <v>0</v>
      </c>
      <c r="H36" s="101">
        <v>0</v>
      </c>
      <c r="I36" s="134">
        <f t="shared" si="4"/>
        <v>0</v>
      </c>
      <c r="J36" s="126">
        <v>0</v>
      </c>
      <c r="K36" s="134">
        <f t="shared" si="5"/>
        <v>11.864406779661017</v>
      </c>
      <c r="L36" s="134">
        <v>14</v>
      </c>
      <c r="M36" s="134">
        <f t="shared" si="6"/>
        <v>0</v>
      </c>
      <c r="N36" s="135">
        <v>30.4</v>
      </c>
      <c r="O36" s="134">
        <f t="shared" si="7"/>
        <v>4.2372881355932206</v>
      </c>
      <c r="P36" s="134">
        <v>5</v>
      </c>
      <c r="Q36" s="134">
        <f t="shared" si="8"/>
        <v>152</v>
      </c>
      <c r="R36" s="126">
        <v>0</v>
      </c>
      <c r="S36" s="134">
        <f t="shared" si="9"/>
        <v>14.40677966101695</v>
      </c>
      <c r="T36" s="134">
        <v>17</v>
      </c>
      <c r="U36" s="134">
        <f t="shared" si="10"/>
        <v>0</v>
      </c>
      <c r="V36" s="134">
        <v>0</v>
      </c>
      <c r="W36" s="134">
        <f t="shared" si="47"/>
        <v>5.9322033898305087</v>
      </c>
      <c r="X36" s="134">
        <v>7</v>
      </c>
      <c r="Y36" s="134">
        <f t="shared" si="11"/>
        <v>0</v>
      </c>
      <c r="Z36" s="126">
        <v>5.4</v>
      </c>
      <c r="AA36" s="134">
        <f t="shared" si="23"/>
        <v>5.5084745762711869</v>
      </c>
      <c r="AB36" s="134">
        <v>6.5</v>
      </c>
      <c r="AC36" s="134">
        <f t="shared" si="13"/>
        <v>35.1</v>
      </c>
      <c r="AD36" s="134">
        <v>0</v>
      </c>
      <c r="AE36" s="134"/>
      <c r="AF36" s="134"/>
      <c r="AG36" s="134">
        <f t="shared" si="14"/>
        <v>0</v>
      </c>
      <c r="AH36" s="135">
        <v>51.7</v>
      </c>
      <c r="AI36" s="134">
        <f t="shared" si="15"/>
        <v>7.6271186440677967</v>
      </c>
      <c r="AJ36" s="134">
        <v>9</v>
      </c>
      <c r="AK36" s="134">
        <f t="shared" si="16"/>
        <v>465.3</v>
      </c>
      <c r="AL36" s="135">
        <v>0</v>
      </c>
      <c r="AM36" s="134">
        <f t="shared" si="17"/>
        <v>11.864406779661017</v>
      </c>
      <c r="AN36" s="134">
        <v>14</v>
      </c>
      <c r="AO36" s="134">
        <f t="shared" si="18"/>
        <v>0</v>
      </c>
      <c r="AP36" s="134">
        <f t="shared" si="19"/>
        <v>552.88135593220341</v>
      </c>
      <c r="AQ36" s="134">
        <f t="shared" si="49"/>
        <v>652.4</v>
      </c>
      <c r="AR36" s="135">
        <v>465</v>
      </c>
      <c r="AS36" s="134" t="s">
        <v>270</v>
      </c>
      <c r="AT36" s="136">
        <v>0</v>
      </c>
      <c r="AU36" s="136">
        <f t="shared" si="20"/>
        <v>5.0847457627118651</v>
      </c>
      <c r="AV36" s="136">
        <v>6</v>
      </c>
      <c r="AW36" s="136">
        <f t="shared" si="24"/>
        <v>2364.4067796610175</v>
      </c>
      <c r="AX36" s="136">
        <f t="shared" si="21"/>
        <v>2790</v>
      </c>
      <c r="AY36" s="137">
        <f t="shared" si="2"/>
        <v>2917.2881355932209</v>
      </c>
      <c r="AZ36" s="138">
        <f t="shared" si="3"/>
        <v>3442.4</v>
      </c>
      <c r="BA36" s="9"/>
      <c r="BB36" s="9"/>
      <c r="BC36" s="9"/>
      <c r="BD36" s="9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</row>
    <row r="37" spans="1:93" s="4" customFormat="1" ht="274.5" outlineLevel="1" x14ac:dyDescent="0.25">
      <c r="A37" s="132">
        <v>25</v>
      </c>
      <c r="B37" s="128" t="s">
        <v>277</v>
      </c>
      <c r="C37" s="139" t="s">
        <v>285</v>
      </c>
      <c r="D37" s="133" t="s">
        <v>19</v>
      </c>
      <c r="E37" s="126">
        <f t="shared" si="48"/>
        <v>58.5</v>
      </c>
      <c r="F37" s="134">
        <v>0</v>
      </c>
      <c r="G37" s="101">
        <v>0</v>
      </c>
      <c r="H37" s="101">
        <v>0</v>
      </c>
      <c r="I37" s="134">
        <f t="shared" si="4"/>
        <v>0</v>
      </c>
      <c r="J37" s="126">
        <v>0</v>
      </c>
      <c r="K37" s="134">
        <f t="shared" si="5"/>
        <v>11.864406779661017</v>
      </c>
      <c r="L37" s="134">
        <v>14</v>
      </c>
      <c r="M37" s="134">
        <f t="shared" si="6"/>
        <v>0</v>
      </c>
      <c r="N37" s="135">
        <v>13.6</v>
      </c>
      <c r="O37" s="134">
        <f t="shared" si="7"/>
        <v>4.2372881355932206</v>
      </c>
      <c r="P37" s="134">
        <v>5</v>
      </c>
      <c r="Q37" s="134">
        <f t="shared" si="8"/>
        <v>68</v>
      </c>
      <c r="R37" s="126">
        <v>0</v>
      </c>
      <c r="S37" s="134">
        <f t="shared" si="9"/>
        <v>14.40677966101695</v>
      </c>
      <c r="T37" s="134">
        <v>17</v>
      </c>
      <c r="U37" s="134">
        <f t="shared" si="10"/>
        <v>0</v>
      </c>
      <c r="V37" s="134">
        <v>10.8</v>
      </c>
      <c r="W37" s="134">
        <f t="shared" si="47"/>
        <v>5.9322033898305087</v>
      </c>
      <c r="X37" s="134">
        <v>7</v>
      </c>
      <c r="Y37" s="134">
        <f t="shared" si="11"/>
        <v>75.600000000000009</v>
      </c>
      <c r="Z37" s="126">
        <v>11</v>
      </c>
      <c r="AA37" s="134">
        <f t="shared" si="23"/>
        <v>5.5084745762711869</v>
      </c>
      <c r="AB37" s="134">
        <v>6.5</v>
      </c>
      <c r="AC37" s="134">
        <f t="shared" si="13"/>
        <v>71.5</v>
      </c>
      <c r="AD37" s="134">
        <v>0</v>
      </c>
      <c r="AE37" s="134"/>
      <c r="AF37" s="134"/>
      <c r="AG37" s="134">
        <f t="shared" si="14"/>
        <v>0</v>
      </c>
      <c r="AH37" s="135">
        <v>23.1</v>
      </c>
      <c r="AI37" s="134">
        <f t="shared" si="15"/>
        <v>7.6271186440677967</v>
      </c>
      <c r="AJ37" s="134">
        <v>9</v>
      </c>
      <c r="AK37" s="134">
        <f t="shared" si="16"/>
        <v>207.9</v>
      </c>
      <c r="AL37" s="135">
        <v>0</v>
      </c>
      <c r="AM37" s="134">
        <f t="shared" si="17"/>
        <v>11.864406779661017</v>
      </c>
      <c r="AN37" s="134">
        <v>14</v>
      </c>
      <c r="AO37" s="134">
        <f t="shared" si="18"/>
        <v>0</v>
      </c>
      <c r="AP37" s="134">
        <f t="shared" si="19"/>
        <v>358.47457627118644</v>
      </c>
      <c r="AQ37" s="134">
        <f t="shared" si="49"/>
        <v>423</v>
      </c>
      <c r="AR37" s="135">
        <v>518</v>
      </c>
      <c r="AS37" s="134" t="s">
        <v>270</v>
      </c>
      <c r="AT37" s="136">
        <v>0</v>
      </c>
      <c r="AU37" s="136">
        <f t="shared" si="20"/>
        <v>5.0847457627118651</v>
      </c>
      <c r="AV37" s="136">
        <v>6</v>
      </c>
      <c r="AW37" s="136">
        <f t="shared" si="24"/>
        <v>2633.898305084746</v>
      </c>
      <c r="AX37" s="136">
        <f t="shared" si="21"/>
        <v>3108</v>
      </c>
      <c r="AY37" s="137">
        <f t="shared" si="2"/>
        <v>2992.3728813559323</v>
      </c>
      <c r="AZ37" s="138">
        <f t="shared" si="3"/>
        <v>3531</v>
      </c>
      <c r="BA37" s="9"/>
      <c r="BB37" s="9"/>
      <c r="BC37" s="9"/>
      <c r="BD37" s="9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</row>
    <row r="38" spans="1:93" s="4" customFormat="1" ht="274.5" outlineLevel="1" x14ac:dyDescent="0.25">
      <c r="A38" s="132">
        <v>26</v>
      </c>
      <c r="B38" s="128" t="s">
        <v>277</v>
      </c>
      <c r="C38" s="127" t="s">
        <v>286</v>
      </c>
      <c r="D38" s="133" t="s">
        <v>19</v>
      </c>
      <c r="E38" s="126">
        <f t="shared" si="48"/>
        <v>1034.2</v>
      </c>
      <c r="F38" s="134">
        <v>0</v>
      </c>
      <c r="G38" s="101">
        <v>0</v>
      </c>
      <c r="H38" s="101">
        <v>0</v>
      </c>
      <c r="I38" s="134">
        <f t="shared" si="4"/>
        <v>0</v>
      </c>
      <c r="J38" s="126">
        <v>218.6</v>
      </c>
      <c r="K38" s="134">
        <f t="shared" si="5"/>
        <v>11.864406779661017</v>
      </c>
      <c r="L38" s="134">
        <v>14</v>
      </c>
      <c r="M38" s="134">
        <f t="shared" si="6"/>
        <v>3060.4</v>
      </c>
      <c r="N38" s="135">
        <v>243.5</v>
      </c>
      <c r="O38" s="134">
        <f t="shared" si="7"/>
        <v>4.2372881355932206</v>
      </c>
      <c r="P38" s="134">
        <v>5</v>
      </c>
      <c r="Q38" s="134">
        <f t="shared" si="8"/>
        <v>1217.5</v>
      </c>
      <c r="R38" s="126">
        <v>105</v>
      </c>
      <c r="S38" s="134">
        <f t="shared" si="9"/>
        <v>14.40677966101695</v>
      </c>
      <c r="T38" s="134">
        <v>17</v>
      </c>
      <c r="U38" s="134">
        <f t="shared" si="10"/>
        <v>1785</v>
      </c>
      <c r="V38" s="134">
        <v>26.2</v>
      </c>
      <c r="W38" s="134">
        <f t="shared" si="47"/>
        <v>5.9322033898305087</v>
      </c>
      <c r="X38" s="134">
        <v>7</v>
      </c>
      <c r="Y38" s="134">
        <f t="shared" si="11"/>
        <v>183.4</v>
      </c>
      <c r="Z38" s="126">
        <v>252.7</v>
      </c>
      <c r="AA38" s="134">
        <f t="shared" si="23"/>
        <v>5.5084745762711869</v>
      </c>
      <c r="AB38" s="134">
        <v>6.5</v>
      </c>
      <c r="AC38" s="134">
        <f t="shared" si="13"/>
        <v>1642.55</v>
      </c>
      <c r="AD38" s="134">
        <v>0</v>
      </c>
      <c r="AE38" s="134"/>
      <c r="AF38" s="134"/>
      <c r="AG38" s="134">
        <f t="shared" si="14"/>
        <v>0</v>
      </c>
      <c r="AH38" s="135">
        <v>167.5</v>
      </c>
      <c r="AI38" s="134">
        <f t="shared" si="15"/>
        <v>7.6271186440677967</v>
      </c>
      <c r="AJ38" s="134">
        <v>9</v>
      </c>
      <c r="AK38" s="134">
        <f t="shared" si="16"/>
        <v>1507.5</v>
      </c>
      <c r="AL38" s="135">
        <v>20.7</v>
      </c>
      <c r="AM38" s="134">
        <f t="shared" si="17"/>
        <v>11.864406779661017</v>
      </c>
      <c r="AN38" s="134">
        <v>14</v>
      </c>
      <c r="AO38" s="134">
        <f t="shared" si="18"/>
        <v>289.8</v>
      </c>
      <c r="AP38" s="134">
        <f t="shared" si="19"/>
        <v>8208.6016949152527</v>
      </c>
      <c r="AQ38" s="134">
        <f t="shared" si="49"/>
        <v>9686.1499999999978</v>
      </c>
      <c r="AR38" s="135">
        <v>1965</v>
      </c>
      <c r="AS38" s="134" t="s">
        <v>270</v>
      </c>
      <c r="AT38" s="136">
        <v>0</v>
      </c>
      <c r="AU38" s="136">
        <f t="shared" si="20"/>
        <v>5.0847457627118651</v>
      </c>
      <c r="AV38" s="136">
        <v>6</v>
      </c>
      <c r="AW38" s="136">
        <f t="shared" si="24"/>
        <v>9991.5254237288154</v>
      </c>
      <c r="AX38" s="136">
        <f t="shared" si="21"/>
        <v>11790</v>
      </c>
      <c r="AY38" s="137">
        <f t="shared" si="2"/>
        <v>18200.127118644068</v>
      </c>
      <c r="AZ38" s="138">
        <f t="shared" si="3"/>
        <v>21476.149999999998</v>
      </c>
      <c r="BA38" s="9"/>
      <c r="BB38" s="9"/>
      <c r="BC38" s="9"/>
      <c r="BD38" s="9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</row>
    <row r="39" spans="1:93" s="4" customFormat="1" ht="228.75" outlineLevel="1" x14ac:dyDescent="0.25">
      <c r="A39" s="132">
        <v>27</v>
      </c>
      <c r="B39" s="128" t="s">
        <v>277</v>
      </c>
      <c r="C39" s="125" t="s">
        <v>287</v>
      </c>
      <c r="D39" s="133" t="s">
        <v>19</v>
      </c>
      <c r="E39" s="126">
        <f t="shared" si="48"/>
        <v>726.59999999999991</v>
      </c>
      <c r="F39" s="134">
        <v>0</v>
      </c>
      <c r="G39" s="101">
        <v>0</v>
      </c>
      <c r="H39" s="101">
        <v>0</v>
      </c>
      <c r="I39" s="134">
        <f t="shared" si="4"/>
        <v>0</v>
      </c>
      <c r="J39" s="126">
        <v>257.7</v>
      </c>
      <c r="K39" s="134">
        <f t="shared" si="5"/>
        <v>11.864406779661017</v>
      </c>
      <c r="L39" s="134">
        <v>14</v>
      </c>
      <c r="M39" s="134">
        <f t="shared" si="6"/>
        <v>3607.7999999999997</v>
      </c>
      <c r="N39" s="135">
        <v>79.099999999999994</v>
      </c>
      <c r="O39" s="134">
        <f t="shared" si="7"/>
        <v>4.2372881355932206</v>
      </c>
      <c r="P39" s="134">
        <v>5</v>
      </c>
      <c r="Q39" s="134">
        <f t="shared" si="8"/>
        <v>395.5</v>
      </c>
      <c r="R39" s="126">
        <v>72.5</v>
      </c>
      <c r="S39" s="134">
        <f t="shared" si="9"/>
        <v>14.40677966101695</v>
      </c>
      <c r="T39" s="134">
        <v>17</v>
      </c>
      <c r="U39" s="134">
        <f t="shared" si="10"/>
        <v>1232.5</v>
      </c>
      <c r="V39" s="134">
        <v>21.7</v>
      </c>
      <c r="W39" s="134">
        <f t="shared" si="47"/>
        <v>5.9322033898305087</v>
      </c>
      <c r="X39" s="134">
        <v>7</v>
      </c>
      <c r="Y39" s="134">
        <f t="shared" si="11"/>
        <v>151.9</v>
      </c>
      <c r="Z39" s="126">
        <v>0</v>
      </c>
      <c r="AA39" s="134">
        <f t="shared" si="23"/>
        <v>5.5084745762711869</v>
      </c>
      <c r="AB39" s="134">
        <v>6.5</v>
      </c>
      <c r="AC39" s="134">
        <f t="shared" si="13"/>
        <v>0</v>
      </c>
      <c r="AD39" s="134">
        <v>0</v>
      </c>
      <c r="AE39" s="134"/>
      <c r="AF39" s="134"/>
      <c r="AG39" s="134">
        <f t="shared" si="14"/>
        <v>0</v>
      </c>
      <c r="AH39" s="135">
        <v>276.10000000000002</v>
      </c>
      <c r="AI39" s="134">
        <f t="shared" si="15"/>
        <v>7.6271186440677967</v>
      </c>
      <c r="AJ39" s="134">
        <v>9</v>
      </c>
      <c r="AK39" s="134">
        <f t="shared" si="16"/>
        <v>2484.9</v>
      </c>
      <c r="AL39" s="135">
        <v>19.5</v>
      </c>
      <c r="AM39" s="134">
        <f t="shared" si="17"/>
        <v>11.864406779661017</v>
      </c>
      <c r="AN39" s="134">
        <v>14</v>
      </c>
      <c r="AO39" s="134">
        <f t="shared" si="18"/>
        <v>273</v>
      </c>
      <c r="AP39" s="134">
        <f t="shared" si="19"/>
        <v>6903.0508474576263</v>
      </c>
      <c r="AQ39" s="134">
        <f t="shared" si="49"/>
        <v>8145.5999999999985</v>
      </c>
      <c r="AR39" s="135">
        <v>3357.2</v>
      </c>
      <c r="AS39" s="134" t="s">
        <v>270</v>
      </c>
      <c r="AT39" s="136">
        <v>0</v>
      </c>
      <c r="AU39" s="136">
        <f t="shared" si="20"/>
        <v>5.0847457627118651</v>
      </c>
      <c r="AV39" s="136">
        <v>6</v>
      </c>
      <c r="AW39" s="136">
        <f t="shared" si="24"/>
        <v>17070.508474576272</v>
      </c>
      <c r="AX39" s="136">
        <f t="shared" si="21"/>
        <v>20143.199999999997</v>
      </c>
      <c r="AY39" s="137">
        <f t="shared" si="2"/>
        <v>23973.5593220339</v>
      </c>
      <c r="AZ39" s="138">
        <f t="shared" si="3"/>
        <v>28288.799999999996</v>
      </c>
      <c r="BA39" s="9"/>
      <c r="BB39" s="9"/>
      <c r="BC39" s="9"/>
      <c r="BD39" s="9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</row>
    <row r="40" spans="1:93" s="4" customFormat="1" ht="320.25" outlineLevel="1" x14ac:dyDescent="0.25">
      <c r="A40" s="132">
        <v>28</v>
      </c>
      <c r="B40" s="128" t="s">
        <v>277</v>
      </c>
      <c r="C40" s="125" t="s">
        <v>288</v>
      </c>
      <c r="D40" s="133" t="s">
        <v>19</v>
      </c>
      <c r="E40" s="126">
        <f t="shared" si="48"/>
        <v>379.2</v>
      </c>
      <c r="F40" s="134">
        <v>0</v>
      </c>
      <c r="G40" s="101">
        <v>0</v>
      </c>
      <c r="H40" s="101">
        <v>0</v>
      </c>
      <c r="I40" s="134">
        <f t="shared" si="4"/>
        <v>0</v>
      </c>
      <c r="J40" s="126">
        <v>92.2</v>
      </c>
      <c r="K40" s="134">
        <f t="shared" si="5"/>
        <v>11.864406779661017</v>
      </c>
      <c r="L40" s="134">
        <v>14</v>
      </c>
      <c r="M40" s="134">
        <f t="shared" si="6"/>
        <v>1290.8</v>
      </c>
      <c r="N40" s="135">
        <v>60.8</v>
      </c>
      <c r="O40" s="134">
        <f t="shared" si="7"/>
        <v>4.2372881355932206</v>
      </c>
      <c r="P40" s="134">
        <v>5</v>
      </c>
      <c r="Q40" s="134">
        <f t="shared" si="8"/>
        <v>304</v>
      </c>
      <c r="R40" s="126">
        <v>57.5</v>
      </c>
      <c r="S40" s="134">
        <f t="shared" si="9"/>
        <v>14.40677966101695</v>
      </c>
      <c r="T40" s="134">
        <v>17</v>
      </c>
      <c r="U40" s="134">
        <f t="shared" si="10"/>
        <v>977.5</v>
      </c>
      <c r="V40" s="134">
        <v>16.5</v>
      </c>
      <c r="W40" s="134">
        <f t="shared" si="47"/>
        <v>5.9322033898305087</v>
      </c>
      <c r="X40" s="134">
        <v>7</v>
      </c>
      <c r="Y40" s="134">
        <f t="shared" si="11"/>
        <v>115.5</v>
      </c>
      <c r="Z40" s="126">
        <v>45.4</v>
      </c>
      <c r="AA40" s="134">
        <f t="shared" si="23"/>
        <v>5.5084745762711869</v>
      </c>
      <c r="AB40" s="134">
        <v>6.5</v>
      </c>
      <c r="AC40" s="134">
        <f t="shared" si="13"/>
        <v>295.09999999999997</v>
      </c>
      <c r="AD40" s="134">
        <v>0</v>
      </c>
      <c r="AE40" s="134"/>
      <c r="AF40" s="134"/>
      <c r="AG40" s="134">
        <f t="shared" si="14"/>
        <v>0</v>
      </c>
      <c r="AH40" s="135">
        <v>87.2</v>
      </c>
      <c r="AI40" s="134">
        <f t="shared" si="15"/>
        <v>7.6271186440677967</v>
      </c>
      <c r="AJ40" s="134">
        <v>9</v>
      </c>
      <c r="AK40" s="134">
        <f t="shared" si="16"/>
        <v>784.80000000000007</v>
      </c>
      <c r="AL40" s="135">
        <v>19.600000000000001</v>
      </c>
      <c r="AM40" s="134">
        <f t="shared" si="17"/>
        <v>11.864406779661017</v>
      </c>
      <c r="AN40" s="134">
        <v>14</v>
      </c>
      <c r="AO40" s="134">
        <f t="shared" si="18"/>
        <v>274.40000000000003</v>
      </c>
      <c r="AP40" s="134">
        <f t="shared" si="19"/>
        <v>3425.5084745762715</v>
      </c>
      <c r="AQ40" s="134">
        <f t="shared" si="49"/>
        <v>4042.1000000000004</v>
      </c>
      <c r="AR40" s="135">
        <v>836</v>
      </c>
      <c r="AS40" s="134" t="s">
        <v>270</v>
      </c>
      <c r="AT40" s="136">
        <v>0</v>
      </c>
      <c r="AU40" s="136">
        <f t="shared" si="20"/>
        <v>5.0847457627118651</v>
      </c>
      <c r="AV40" s="136">
        <v>6</v>
      </c>
      <c r="AW40" s="136">
        <f t="shared" si="24"/>
        <v>4250.8474576271192</v>
      </c>
      <c r="AX40" s="136">
        <f t="shared" si="21"/>
        <v>5016</v>
      </c>
      <c r="AY40" s="137">
        <f t="shared" si="2"/>
        <v>7676.3559322033907</v>
      </c>
      <c r="AZ40" s="138">
        <f t="shared" si="3"/>
        <v>9058.1</v>
      </c>
      <c r="BA40" s="9"/>
      <c r="BB40" s="9"/>
      <c r="BC40" s="9"/>
      <c r="BD40" s="9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</row>
    <row r="41" spans="1:93" s="4" customFormat="1" ht="366" outlineLevel="1" x14ac:dyDescent="0.25">
      <c r="A41" s="132">
        <v>29</v>
      </c>
      <c r="B41" s="128" t="s">
        <v>277</v>
      </c>
      <c r="C41" s="125" t="s">
        <v>289</v>
      </c>
      <c r="D41" s="133" t="s">
        <v>19</v>
      </c>
      <c r="E41" s="126">
        <f t="shared" si="48"/>
        <v>405.8</v>
      </c>
      <c r="F41" s="134">
        <v>0</v>
      </c>
      <c r="G41" s="101">
        <v>0</v>
      </c>
      <c r="H41" s="101">
        <v>0</v>
      </c>
      <c r="I41" s="134">
        <f t="shared" si="4"/>
        <v>0</v>
      </c>
      <c r="J41" s="126">
        <v>120.4</v>
      </c>
      <c r="K41" s="134">
        <f t="shared" si="5"/>
        <v>11.864406779661017</v>
      </c>
      <c r="L41" s="134">
        <v>14</v>
      </c>
      <c r="M41" s="134">
        <f t="shared" si="6"/>
        <v>1685.6000000000001</v>
      </c>
      <c r="N41" s="135">
        <v>42.6</v>
      </c>
      <c r="O41" s="134">
        <f t="shared" si="7"/>
        <v>4.2372881355932206</v>
      </c>
      <c r="P41" s="134">
        <v>5</v>
      </c>
      <c r="Q41" s="134">
        <f t="shared" si="8"/>
        <v>213</v>
      </c>
      <c r="R41" s="126">
        <v>76.5</v>
      </c>
      <c r="S41" s="134">
        <f t="shared" si="9"/>
        <v>14.40677966101695</v>
      </c>
      <c r="T41" s="134">
        <v>17</v>
      </c>
      <c r="U41" s="134">
        <f t="shared" si="10"/>
        <v>1300.5</v>
      </c>
      <c r="V41" s="134">
        <v>0</v>
      </c>
      <c r="W41" s="134">
        <f t="shared" si="47"/>
        <v>5.9322033898305087</v>
      </c>
      <c r="X41" s="134">
        <v>7</v>
      </c>
      <c r="Y41" s="134">
        <f t="shared" si="11"/>
        <v>0</v>
      </c>
      <c r="Z41" s="126">
        <v>65.099999999999994</v>
      </c>
      <c r="AA41" s="134">
        <f t="shared" si="23"/>
        <v>5.5084745762711869</v>
      </c>
      <c r="AB41" s="134">
        <v>6.5</v>
      </c>
      <c r="AC41" s="134">
        <f t="shared" si="13"/>
        <v>423.15</v>
      </c>
      <c r="AD41" s="134">
        <v>0</v>
      </c>
      <c r="AE41" s="134"/>
      <c r="AF41" s="134"/>
      <c r="AG41" s="134">
        <f t="shared" si="14"/>
        <v>0</v>
      </c>
      <c r="AH41" s="135">
        <v>101.2</v>
      </c>
      <c r="AI41" s="134">
        <f t="shared" si="15"/>
        <v>7.6271186440677967</v>
      </c>
      <c r="AJ41" s="134">
        <v>9</v>
      </c>
      <c r="AK41" s="134">
        <f t="shared" si="16"/>
        <v>910.80000000000007</v>
      </c>
      <c r="AL41" s="135">
        <v>0</v>
      </c>
      <c r="AM41" s="134">
        <f t="shared" si="17"/>
        <v>11.864406779661017</v>
      </c>
      <c r="AN41" s="134">
        <v>14</v>
      </c>
      <c r="AO41" s="134">
        <f t="shared" si="18"/>
        <v>0</v>
      </c>
      <c r="AP41" s="134">
        <f t="shared" si="19"/>
        <v>3841.5677966101698</v>
      </c>
      <c r="AQ41" s="134">
        <f t="shared" si="49"/>
        <v>4533.05</v>
      </c>
      <c r="AR41" s="135">
        <v>889</v>
      </c>
      <c r="AS41" s="134" t="s">
        <v>270</v>
      </c>
      <c r="AT41" s="136">
        <v>0</v>
      </c>
      <c r="AU41" s="136">
        <f t="shared" si="20"/>
        <v>5.0847457627118651</v>
      </c>
      <c r="AV41" s="136">
        <v>6</v>
      </c>
      <c r="AW41" s="136">
        <f t="shared" si="24"/>
        <v>4520.3389830508477</v>
      </c>
      <c r="AX41" s="136">
        <f t="shared" si="21"/>
        <v>5334</v>
      </c>
      <c r="AY41" s="137">
        <f t="shared" si="2"/>
        <v>8361.9067796610179</v>
      </c>
      <c r="AZ41" s="138">
        <f t="shared" si="3"/>
        <v>9867.0499999999993</v>
      </c>
      <c r="BA41" s="9"/>
      <c r="BB41" s="9"/>
      <c r="BC41" s="9"/>
      <c r="BD41" s="9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</row>
    <row r="42" spans="1:93" s="38" customFormat="1" ht="45.75" outlineLevel="1" x14ac:dyDescent="0.25">
      <c r="A42" s="147" t="s">
        <v>55</v>
      </c>
      <c r="B42" s="148"/>
      <c r="C42" s="148"/>
      <c r="D42" s="106"/>
      <c r="E42" s="100"/>
      <c r="F42" s="106"/>
      <c r="G42" s="101">
        <v>0</v>
      </c>
      <c r="H42" s="101">
        <v>0</v>
      </c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7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7"/>
      <c r="AQ42" s="117"/>
      <c r="AR42" s="106"/>
      <c r="AS42" s="101"/>
      <c r="AT42" s="106"/>
      <c r="AU42" s="106"/>
      <c r="AV42" s="118"/>
      <c r="AW42" s="106"/>
      <c r="AX42" s="106"/>
      <c r="AY42" s="107"/>
      <c r="AZ42" s="119"/>
      <c r="BA42" s="7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37"/>
    </row>
    <row r="43" spans="1:93" s="4" customFormat="1" ht="228.75" outlineLevel="1" x14ac:dyDescent="0.25">
      <c r="A43" s="97">
        <v>30</v>
      </c>
      <c r="B43" s="98" t="s">
        <v>226</v>
      </c>
      <c r="C43" s="125" t="s">
        <v>71</v>
      </c>
      <c r="D43" s="99" t="s">
        <v>19</v>
      </c>
      <c r="E43" s="100">
        <f t="shared" ref="E43:E53" si="50">F43+J43+N43+R43+V43+Z43+AD43+AH43+AL43</f>
        <v>1087.5999999999999</v>
      </c>
      <c r="F43" s="101">
        <v>0</v>
      </c>
      <c r="G43" s="101">
        <v>0</v>
      </c>
      <c r="H43" s="101">
        <v>0</v>
      </c>
      <c r="I43" s="101">
        <f t="shared" si="4"/>
        <v>0</v>
      </c>
      <c r="J43" s="100">
        <f>179+228+87.7</f>
        <v>494.7</v>
      </c>
      <c r="K43" s="101">
        <f t="shared" si="5"/>
        <v>11.864406779661017</v>
      </c>
      <c r="L43" s="101">
        <v>14</v>
      </c>
      <c r="M43" s="101">
        <f t="shared" si="6"/>
        <v>6925.8</v>
      </c>
      <c r="N43" s="102">
        <v>35</v>
      </c>
      <c r="O43" s="101">
        <f t="shared" si="7"/>
        <v>4.2372881355932206</v>
      </c>
      <c r="P43" s="101">
        <v>5</v>
      </c>
      <c r="Q43" s="101">
        <f t="shared" si="8"/>
        <v>175</v>
      </c>
      <c r="R43" s="100">
        <f>52</f>
        <v>52</v>
      </c>
      <c r="S43" s="101">
        <f t="shared" si="9"/>
        <v>14.40677966101695</v>
      </c>
      <c r="T43" s="101">
        <v>17</v>
      </c>
      <c r="U43" s="101">
        <f t="shared" si="10"/>
        <v>884</v>
      </c>
      <c r="V43" s="101">
        <v>0</v>
      </c>
      <c r="W43" s="101">
        <f t="shared" ref="W43:W45" si="51">X43/1.18</f>
        <v>5.9322033898305087</v>
      </c>
      <c r="X43" s="101">
        <v>7</v>
      </c>
      <c r="Y43" s="101">
        <f t="shared" si="11"/>
        <v>0</v>
      </c>
      <c r="Z43" s="100">
        <f>84.2+10.8+44.9+180</f>
        <v>319.89999999999998</v>
      </c>
      <c r="AA43" s="101">
        <f t="shared" si="23"/>
        <v>5.5084745762711869</v>
      </c>
      <c r="AB43" s="101">
        <v>6.5</v>
      </c>
      <c r="AC43" s="101">
        <f t="shared" si="13"/>
        <v>2079.35</v>
      </c>
      <c r="AD43" s="101">
        <v>0</v>
      </c>
      <c r="AE43" s="101"/>
      <c r="AF43" s="101"/>
      <c r="AG43" s="101">
        <f t="shared" si="14"/>
        <v>0</v>
      </c>
      <c r="AH43" s="102">
        <f>22+140.5</f>
        <v>162.5</v>
      </c>
      <c r="AI43" s="101">
        <f t="shared" si="15"/>
        <v>7.6271186440677967</v>
      </c>
      <c r="AJ43" s="101">
        <v>9</v>
      </c>
      <c r="AK43" s="101">
        <f t="shared" si="16"/>
        <v>1462.5</v>
      </c>
      <c r="AL43" s="102">
        <f>9.4+14.1</f>
        <v>23.5</v>
      </c>
      <c r="AM43" s="101">
        <f t="shared" si="17"/>
        <v>11.864406779661017</v>
      </c>
      <c r="AN43" s="101">
        <v>14</v>
      </c>
      <c r="AO43" s="101">
        <f t="shared" si="18"/>
        <v>329</v>
      </c>
      <c r="AP43" s="101">
        <f t="shared" si="19"/>
        <v>10047.161016949152</v>
      </c>
      <c r="AQ43" s="101">
        <f t="shared" ref="AQ43:AQ53" si="52">I43+M43+Q43+U43+Y43+AC43+AG43+AK43+AO43</f>
        <v>11855.65</v>
      </c>
      <c r="AR43" s="102">
        <v>992</v>
      </c>
      <c r="AS43" s="101" t="s">
        <v>270</v>
      </c>
      <c r="AT43" s="103">
        <v>0</v>
      </c>
      <c r="AU43" s="103">
        <f t="shared" ref="AU43:AU71" si="53">AV43/1.18</f>
        <v>5.0847457627118651</v>
      </c>
      <c r="AV43" s="103">
        <v>6</v>
      </c>
      <c r="AW43" s="103">
        <f t="shared" si="24"/>
        <v>5044.0677966101703</v>
      </c>
      <c r="AX43" s="103">
        <f t="shared" si="21"/>
        <v>5952</v>
      </c>
      <c r="AY43" s="104">
        <f t="shared" si="2"/>
        <v>15091.228813559323</v>
      </c>
      <c r="AZ43" s="105">
        <f t="shared" si="3"/>
        <v>17807.650000000001</v>
      </c>
      <c r="BA43" s="9"/>
      <c r="BB43" s="9"/>
      <c r="BC43" s="9"/>
      <c r="BD43" s="9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0"/>
      <c r="CL43" s="40"/>
      <c r="CM43" s="40"/>
      <c r="CN43" s="40"/>
      <c r="CO43" s="40"/>
    </row>
    <row r="44" spans="1:93" s="4" customFormat="1" ht="228.75" outlineLevel="1" x14ac:dyDescent="0.25">
      <c r="A44" s="97">
        <f>A43+1</f>
        <v>31</v>
      </c>
      <c r="B44" s="98" t="s">
        <v>16</v>
      </c>
      <c r="C44" s="125" t="s">
        <v>73</v>
      </c>
      <c r="D44" s="99" t="s">
        <v>19</v>
      </c>
      <c r="E44" s="100">
        <f t="shared" si="50"/>
        <v>808.69999999999993</v>
      </c>
      <c r="F44" s="101">
        <v>0</v>
      </c>
      <c r="G44" s="101">
        <v>0</v>
      </c>
      <c r="H44" s="101">
        <v>0</v>
      </c>
      <c r="I44" s="101">
        <f t="shared" si="4"/>
        <v>0</v>
      </c>
      <c r="J44" s="100">
        <v>326.39999999999998</v>
      </c>
      <c r="K44" s="101">
        <f t="shared" si="5"/>
        <v>11.864406779661017</v>
      </c>
      <c r="L44" s="101">
        <v>14</v>
      </c>
      <c r="M44" s="101">
        <f t="shared" si="6"/>
        <v>4569.5999999999995</v>
      </c>
      <c r="N44" s="102">
        <v>19</v>
      </c>
      <c r="O44" s="101">
        <f t="shared" si="7"/>
        <v>4.2372881355932206</v>
      </c>
      <c r="P44" s="101">
        <v>5</v>
      </c>
      <c r="Q44" s="101">
        <f t="shared" si="8"/>
        <v>95</v>
      </c>
      <c r="R44" s="100">
        <v>61.1</v>
      </c>
      <c r="S44" s="101">
        <f t="shared" si="9"/>
        <v>14.40677966101695</v>
      </c>
      <c r="T44" s="101">
        <v>17</v>
      </c>
      <c r="U44" s="101">
        <f t="shared" si="10"/>
        <v>1038.7</v>
      </c>
      <c r="V44" s="101">
        <v>0</v>
      </c>
      <c r="W44" s="101">
        <f t="shared" si="51"/>
        <v>5.9322033898305087</v>
      </c>
      <c r="X44" s="101">
        <v>7</v>
      </c>
      <c r="Y44" s="101">
        <f t="shared" si="11"/>
        <v>0</v>
      </c>
      <c r="Z44" s="100">
        <f>57+43+57+30+56.3+37+8.3</f>
        <v>288.60000000000002</v>
      </c>
      <c r="AA44" s="101">
        <f t="shared" si="23"/>
        <v>5.5084745762711869</v>
      </c>
      <c r="AB44" s="101">
        <v>6.5</v>
      </c>
      <c r="AC44" s="101">
        <f t="shared" si="13"/>
        <v>1875.9</v>
      </c>
      <c r="AD44" s="101">
        <v>0</v>
      </c>
      <c r="AE44" s="101"/>
      <c r="AF44" s="101"/>
      <c r="AG44" s="101">
        <f t="shared" si="14"/>
        <v>0</v>
      </c>
      <c r="AH44" s="102">
        <f>29.8+47</f>
        <v>76.8</v>
      </c>
      <c r="AI44" s="101">
        <f t="shared" si="15"/>
        <v>7.6271186440677967</v>
      </c>
      <c r="AJ44" s="101">
        <v>9</v>
      </c>
      <c r="AK44" s="101">
        <f t="shared" si="16"/>
        <v>691.19999999999993</v>
      </c>
      <c r="AL44" s="102">
        <v>36.799999999999997</v>
      </c>
      <c r="AM44" s="101">
        <f t="shared" si="17"/>
        <v>11.864406779661017</v>
      </c>
      <c r="AN44" s="101">
        <v>14</v>
      </c>
      <c r="AO44" s="101">
        <f t="shared" si="18"/>
        <v>515.19999999999993</v>
      </c>
      <c r="AP44" s="101">
        <f t="shared" si="19"/>
        <v>7445.42372881356</v>
      </c>
      <c r="AQ44" s="101">
        <f t="shared" si="52"/>
        <v>8785.6</v>
      </c>
      <c r="AR44" s="102">
        <v>398</v>
      </c>
      <c r="AS44" s="101" t="s">
        <v>270</v>
      </c>
      <c r="AT44" s="103">
        <v>0</v>
      </c>
      <c r="AU44" s="103">
        <f t="shared" si="53"/>
        <v>5.0847457627118651</v>
      </c>
      <c r="AV44" s="103">
        <v>6</v>
      </c>
      <c r="AW44" s="103">
        <f t="shared" si="24"/>
        <v>2023.7288135593224</v>
      </c>
      <c r="AX44" s="103">
        <f t="shared" si="21"/>
        <v>2388</v>
      </c>
      <c r="AY44" s="104">
        <f t="shared" si="2"/>
        <v>9469.1525423728817</v>
      </c>
      <c r="AZ44" s="105">
        <f t="shared" si="3"/>
        <v>11173.6</v>
      </c>
      <c r="BA44" s="9"/>
      <c r="BB44" s="9"/>
      <c r="BC44" s="9"/>
      <c r="BD44" s="9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0"/>
      <c r="CL44" s="40"/>
      <c r="CM44" s="40"/>
      <c r="CN44" s="40"/>
      <c r="CO44" s="40"/>
    </row>
    <row r="45" spans="1:93" s="4" customFormat="1" ht="228.75" outlineLevel="1" x14ac:dyDescent="0.25">
      <c r="A45" s="97">
        <f t="shared" ref="A45:A53" si="54">A44+1</f>
        <v>32</v>
      </c>
      <c r="B45" s="98" t="s">
        <v>16</v>
      </c>
      <c r="C45" s="125" t="s">
        <v>236</v>
      </c>
      <c r="D45" s="99" t="s">
        <v>19</v>
      </c>
      <c r="E45" s="100">
        <f t="shared" si="50"/>
        <v>63</v>
      </c>
      <c r="F45" s="101">
        <v>0</v>
      </c>
      <c r="G45" s="101">
        <v>0</v>
      </c>
      <c r="H45" s="101">
        <v>0</v>
      </c>
      <c r="I45" s="101">
        <f t="shared" si="4"/>
        <v>0</v>
      </c>
      <c r="J45" s="100">
        <v>25.3</v>
      </c>
      <c r="K45" s="101">
        <f t="shared" si="5"/>
        <v>11.864406779661017</v>
      </c>
      <c r="L45" s="101">
        <v>14</v>
      </c>
      <c r="M45" s="101">
        <f t="shared" si="6"/>
        <v>354.2</v>
      </c>
      <c r="N45" s="102">
        <v>35.200000000000003</v>
      </c>
      <c r="O45" s="101">
        <f t="shared" si="7"/>
        <v>4.2372881355932206</v>
      </c>
      <c r="P45" s="101">
        <v>5</v>
      </c>
      <c r="Q45" s="101">
        <f t="shared" si="8"/>
        <v>176</v>
      </c>
      <c r="R45" s="100">
        <v>0</v>
      </c>
      <c r="S45" s="101">
        <f t="shared" si="9"/>
        <v>14.40677966101695</v>
      </c>
      <c r="T45" s="101">
        <v>17</v>
      </c>
      <c r="U45" s="101">
        <f t="shared" si="10"/>
        <v>0</v>
      </c>
      <c r="V45" s="101">
        <v>0</v>
      </c>
      <c r="W45" s="101">
        <f t="shared" si="51"/>
        <v>5.9322033898305087</v>
      </c>
      <c r="X45" s="101">
        <v>7</v>
      </c>
      <c r="Y45" s="101">
        <f t="shared" si="11"/>
        <v>0</v>
      </c>
      <c r="Z45" s="100">
        <v>0</v>
      </c>
      <c r="AA45" s="101">
        <f t="shared" si="23"/>
        <v>5.5084745762711869</v>
      </c>
      <c r="AB45" s="101">
        <v>6.5</v>
      </c>
      <c r="AC45" s="101">
        <f t="shared" si="13"/>
        <v>0</v>
      </c>
      <c r="AD45" s="101">
        <v>0</v>
      </c>
      <c r="AE45" s="101"/>
      <c r="AF45" s="101"/>
      <c r="AG45" s="101">
        <f t="shared" si="14"/>
        <v>0</v>
      </c>
      <c r="AH45" s="102">
        <v>0</v>
      </c>
      <c r="AI45" s="101">
        <f t="shared" si="15"/>
        <v>7.6271186440677967</v>
      </c>
      <c r="AJ45" s="101">
        <v>9</v>
      </c>
      <c r="AK45" s="101">
        <f t="shared" si="16"/>
        <v>0</v>
      </c>
      <c r="AL45" s="102">
        <v>2.5</v>
      </c>
      <c r="AM45" s="101">
        <f t="shared" si="17"/>
        <v>11.864406779661017</v>
      </c>
      <c r="AN45" s="101">
        <v>14</v>
      </c>
      <c r="AO45" s="101">
        <f t="shared" si="18"/>
        <v>35</v>
      </c>
      <c r="AP45" s="101">
        <f t="shared" si="19"/>
        <v>478.98305084745772</v>
      </c>
      <c r="AQ45" s="101">
        <f t="shared" si="52"/>
        <v>565.20000000000005</v>
      </c>
      <c r="AR45" s="102">
        <v>127</v>
      </c>
      <c r="AS45" s="101" t="s">
        <v>270</v>
      </c>
      <c r="AT45" s="103">
        <v>0</v>
      </c>
      <c r="AU45" s="103">
        <f t="shared" si="53"/>
        <v>5.0847457627118651</v>
      </c>
      <c r="AV45" s="103">
        <v>6</v>
      </c>
      <c r="AW45" s="103">
        <f t="shared" si="24"/>
        <v>645.76271186440681</v>
      </c>
      <c r="AX45" s="103">
        <f t="shared" si="21"/>
        <v>762</v>
      </c>
      <c r="AY45" s="104">
        <f t="shared" si="2"/>
        <v>1124.7457627118645</v>
      </c>
      <c r="AZ45" s="105">
        <f t="shared" si="3"/>
        <v>1327.2</v>
      </c>
      <c r="BA45" s="9"/>
      <c r="BB45" s="9"/>
      <c r="BC45" s="9"/>
      <c r="BD45" s="9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0"/>
      <c r="CL45" s="40"/>
      <c r="CM45" s="40"/>
      <c r="CN45" s="40"/>
      <c r="CO45" s="40"/>
    </row>
    <row r="46" spans="1:93" s="4" customFormat="1" ht="228.75" outlineLevel="1" x14ac:dyDescent="0.25">
      <c r="A46" s="97">
        <f t="shared" si="54"/>
        <v>33</v>
      </c>
      <c r="B46" s="98" t="s">
        <v>16</v>
      </c>
      <c r="C46" s="125" t="s">
        <v>235</v>
      </c>
      <c r="D46" s="99" t="s">
        <v>19</v>
      </c>
      <c r="E46" s="100">
        <f t="shared" si="50"/>
        <v>185.4</v>
      </c>
      <c r="F46" s="101">
        <v>0</v>
      </c>
      <c r="G46" s="101">
        <v>0</v>
      </c>
      <c r="H46" s="101">
        <v>0</v>
      </c>
      <c r="I46" s="101">
        <f t="shared" si="4"/>
        <v>0</v>
      </c>
      <c r="J46" s="100">
        <v>40</v>
      </c>
      <c r="K46" s="101">
        <f t="shared" si="5"/>
        <v>11.864406779661017</v>
      </c>
      <c r="L46" s="101">
        <v>14</v>
      </c>
      <c r="M46" s="101">
        <f t="shared" si="6"/>
        <v>560</v>
      </c>
      <c r="N46" s="102">
        <v>0</v>
      </c>
      <c r="O46" s="101">
        <f t="shared" si="7"/>
        <v>4.2372881355932206</v>
      </c>
      <c r="P46" s="101">
        <v>5</v>
      </c>
      <c r="Q46" s="101">
        <f t="shared" si="8"/>
        <v>0</v>
      </c>
      <c r="R46" s="100">
        <v>0</v>
      </c>
      <c r="S46" s="101">
        <f t="shared" si="9"/>
        <v>14.40677966101695</v>
      </c>
      <c r="T46" s="101">
        <v>17</v>
      </c>
      <c r="U46" s="101">
        <f t="shared" si="10"/>
        <v>0</v>
      </c>
      <c r="V46" s="101">
        <v>0</v>
      </c>
      <c r="W46" s="101">
        <v>4.2</v>
      </c>
      <c r="X46" s="101">
        <v>7</v>
      </c>
      <c r="Y46" s="101">
        <f t="shared" si="11"/>
        <v>0</v>
      </c>
      <c r="Z46" s="100">
        <v>105</v>
      </c>
      <c r="AA46" s="101">
        <f t="shared" si="23"/>
        <v>5.5084745762711869</v>
      </c>
      <c r="AB46" s="101">
        <v>6.5</v>
      </c>
      <c r="AC46" s="101">
        <f t="shared" si="13"/>
        <v>682.5</v>
      </c>
      <c r="AD46" s="101">
        <v>0</v>
      </c>
      <c r="AE46" s="101"/>
      <c r="AF46" s="101"/>
      <c r="AG46" s="101">
        <f t="shared" si="14"/>
        <v>0</v>
      </c>
      <c r="AH46" s="102">
        <v>35.799999999999997</v>
      </c>
      <c r="AI46" s="101">
        <f t="shared" si="15"/>
        <v>7.6271186440677967</v>
      </c>
      <c r="AJ46" s="101">
        <v>9</v>
      </c>
      <c r="AK46" s="101">
        <f t="shared" si="16"/>
        <v>322.2</v>
      </c>
      <c r="AL46" s="102">
        <v>4.5999999999999996</v>
      </c>
      <c r="AM46" s="101">
        <f t="shared" si="17"/>
        <v>11.864406779661017</v>
      </c>
      <c r="AN46" s="101">
        <v>14</v>
      </c>
      <c r="AO46" s="101">
        <f t="shared" si="18"/>
        <v>64.399999999999991</v>
      </c>
      <c r="AP46" s="101">
        <f t="shared" si="19"/>
        <v>1380.5932203389832</v>
      </c>
      <c r="AQ46" s="101">
        <f t="shared" si="52"/>
        <v>1629.1000000000001</v>
      </c>
      <c r="AR46" s="102">
        <v>280</v>
      </c>
      <c r="AS46" s="101" t="s">
        <v>270</v>
      </c>
      <c r="AT46" s="103">
        <v>0</v>
      </c>
      <c r="AU46" s="103">
        <f t="shared" si="53"/>
        <v>5.0847457627118651</v>
      </c>
      <c r="AV46" s="103">
        <v>6</v>
      </c>
      <c r="AW46" s="103">
        <f t="shared" si="24"/>
        <v>1423.7288135593221</v>
      </c>
      <c r="AX46" s="103">
        <f t="shared" si="21"/>
        <v>1680</v>
      </c>
      <c r="AY46" s="104">
        <f t="shared" si="2"/>
        <v>2804.3220338983056</v>
      </c>
      <c r="AZ46" s="105">
        <f t="shared" si="3"/>
        <v>3309.1000000000004</v>
      </c>
      <c r="BA46" s="9"/>
      <c r="BB46" s="9"/>
      <c r="BC46" s="9"/>
      <c r="BD46" s="9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0"/>
      <c r="CL46" s="40"/>
      <c r="CM46" s="40"/>
      <c r="CN46" s="40"/>
      <c r="CO46" s="40"/>
    </row>
    <row r="47" spans="1:93" s="4" customFormat="1" ht="274.5" outlineLevel="1" x14ac:dyDescent="0.25">
      <c r="A47" s="97">
        <f t="shared" si="54"/>
        <v>34</v>
      </c>
      <c r="B47" s="98" t="s">
        <v>243</v>
      </c>
      <c r="C47" s="125" t="s">
        <v>74</v>
      </c>
      <c r="D47" s="99" t="s">
        <v>19</v>
      </c>
      <c r="E47" s="100">
        <f t="shared" si="50"/>
        <v>520.29999999999995</v>
      </c>
      <c r="F47" s="101">
        <v>0</v>
      </c>
      <c r="G47" s="101">
        <v>0</v>
      </c>
      <c r="H47" s="101">
        <v>0</v>
      </c>
      <c r="I47" s="101">
        <f t="shared" si="4"/>
        <v>0</v>
      </c>
      <c r="J47" s="100">
        <v>292.3</v>
      </c>
      <c r="K47" s="101">
        <f t="shared" si="5"/>
        <v>11.864406779661017</v>
      </c>
      <c r="L47" s="101">
        <v>14</v>
      </c>
      <c r="M47" s="101">
        <f t="shared" si="6"/>
        <v>4092.2000000000003</v>
      </c>
      <c r="N47" s="102">
        <v>0</v>
      </c>
      <c r="O47" s="101">
        <f t="shared" si="7"/>
        <v>4.2372881355932206</v>
      </c>
      <c r="P47" s="101">
        <v>5</v>
      </c>
      <c r="Q47" s="101">
        <f t="shared" si="8"/>
        <v>0</v>
      </c>
      <c r="R47" s="100">
        <v>67</v>
      </c>
      <c r="S47" s="101">
        <f t="shared" si="9"/>
        <v>14.40677966101695</v>
      </c>
      <c r="T47" s="101">
        <v>17</v>
      </c>
      <c r="U47" s="101">
        <f t="shared" si="10"/>
        <v>1139</v>
      </c>
      <c r="V47" s="101">
        <v>0</v>
      </c>
      <c r="W47" s="101">
        <f t="shared" ref="W47:W49" si="55">X47/1.18</f>
        <v>5.9322033898305087</v>
      </c>
      <c r="X47" s="101">
        <v>7</v>
      </c>
      <c r="Y47" s="101">
        <f t="shared" si="11"/>
        <v>0</v>
      </c>
      <c r="Z47" s="100">
        <f>50.4+23.8+28.8+18+18+18</f>
        <v>157</v>
      </c>
      <c r="AA47" s="101">
        <f t="shared" si="23"/>
        <v>5.5084745762711869</v>
      </c>
      <c r="AB47" s="101">
        <v>6.5</v>
      </c>
      <c r="AC47" s="101">
        <f t="shared" si="13"/>
        <v>1020.5</v>
      </c>
      <c r="AD47" s="101">
        <v>0</v>
      </c>
      <c r="AE47" s="101"/>
      <c r="AF47" s="101"/>
      <c r="AG47" s="101">
        <f t="shared" si="14"/>
        <v>0</v>
      </c>
      <c r="AH47" s="102">
        <v>0</v>
      </c>
      <c r="AI47" s="101">
        <f t="shared" si="15"/>
        <v>7.6271186440677967</v>
      </c>
      <c r="AJ47" s="101">
        <v>9</v>
      </c>
      <c r="AK47" s="101">
        <f t="shared" si="16"/>
        <v>0</v>
      </c>
      <c r="AL47" s="102">
        <v>4</v>
      </c>
      <c r="AM47" s="101">
        <f t="shared" si="17"/>
        <v>11.864406779661017</v>
      </c>
      <c r="AN47" s="101">
        <v>14</v>
      </c>
      <c r="AO47" s="101">
        <f t="shared" si="18"/>
        <v>56</v>
      </c>
      <c r="AP47" s="101">
        <f t="shared" si="19"/>
        <v>5345.5084745762724</v>
      </c>
      <c r="AQ47" s="101">
        <f t="shared" si="52"/>
        <v>6307.7000000000007</v>
      </c>
      <c r="AR47" s="102">
        <v>955</v>
      </c>
      <c r="AS47" s="101" t="s">
        <v>270</v>
      </c>
      <c r="AT47" s="103">
        <v>0</v>
      </c>
      <c r="AU47" s="103">
        <f t="shared" si="53"/>
        <v>5.0847457627118651</v>
      </c>
      <c r="AV47" s="103">
        <v>6</v>
      </c>
      <c r="AW47" s="103">
        <f t="shared" si="24"/>
        <v>4855.9322033898316</v>
      </c>
      <c r="AX47" s="103">
        <f t="shared" si="21"/>
        <v>5730</v>
      </c>
      <c r="AY47" s="104">
        <f t="shared" si="2"/>
        <v>10201.440677966104</v>
      </c>
      <c r="AZ47" s="105">
        <f t="shared" si="3"/>
        <v>12037.7</v>
      </c>
      <c r="BA47" s="9"/>
      <c r="BB47" s="9"/>
      <c r="BC47" s="9"/>
      <c r="BD47" s="9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0"/>
      <c r="CL47" s="40"/>
      <c r="CM47" s="40"/>
      <c r="CN47" s="40"/>
      <c r="CO47" s="40"/>
    </row>
    <row r="48" spans="1:93" s="4" customFormat="1" ht="274.5" outlineLevel="1" x14ac:dyDescent="0.25">
      <c r="A48" s="97">
        <f t="shared" si="54"/>
        <v>35</v>
      </c>
      <c r="B48" s="98" t="s">
        <v>242</v>
      </c>
      <c r="C48" s="125" t="s">
        <v>75</v>
      </c>
      <c r="D48" s="99" t="s">
        <v>19</v>
      </c>
      <c r="E48" s="100">
        <f t="shared" si="50"/>
        <v>828.9</v>
      </c>
      <c r="F48" s="101">
        <v>0</v>
      </c>
      <c r="G48" s="101">
        <v>0</v>
      </c>
      <c r="H48" s="101">
        <v>0</v>
      </c>
      <c r="I48" s="101">
        <f t="shared" si="4"/>
        <v>0</v>
      </c>
      <c r="J48" s="100">
        <v>193.2</v>
      </c>
      <c r="K48" s="101">
        <f t="shared" si="5"/>
        <v>11.864406779661017</v>
      </c>
      <c r="L48" s="101">
        <v>14</v>
      </c>
      <c r="M48" s="101">
        <f t="shared" si="6"/>
        <v>2704.7999999999997</v>
      </c>
      <c r="N48" s="102">
        <v>111</v>
      </c>
      <c r="O48" s="101">
        <f t="shared" si="7"/>
        <v>4.2372881355932206</v>
      </c>
      <c r="P48" s="101">
        <v>5</v>
      </c>
      <c r="Q48" s="101">
        <f t="shared" si="8"/>
        <v>555</v>
      </c>
      <c r="R48" s="100">
        <v>89</v>
      </c>
      <c r="S48" s="101">
        <f t="shared" si="9"/>
        <v>14.40677966101695</v>
      </c>
      <c r="T48" s="101">
        <v>17</v>
      </c>
      <c r="U48" s="101">
        <f t="shared" si="10"/>
        <v>1513</v>
      </c>
      <c r="V48" s="101">
        <v>0</v>
      </c>
      <c r="W48" s="101">
        <f t="shared" si="55"/>
        <v>5.9322033898305087</v>
      </c>
      <c r="X48" s="101">
        <v>7</v>
      </c>
      <c r="Y48" s="101">
        <f t="shared" si="11"/>
        <v>0</v>
      </c>
      <c r="Z48" s="100">
        <v>162.1</v>
      </c>
      <c r="AA48" s="101">
        <f t="shared" si="23"/>
        <v>5.5084745762711869</v>
      </c>
      <c r="AB48" s="101">
        <v>6.5</v>
      </c>
      <c r="AC48" s="101">
        <f t="shared" si="13"/>
        <v>1053.6499999999999</v>
      </c>
      <c r="AD48" s="101">
        <v>0</v>
      </c>
      <c r="AE48" s="101"/>
      <c r="AF48" s="101"/>
      <c r="AG48" s="101">
        <f t="shared" si="14"/>
        <v>0</v>
      </c>
      <c r="AH48" s="102">
        <v>241.2</v>
      </c>
      <c r="AI48" s="101">
        <f t="shared" si="15"/>
        <v>7.6271186440677967</v>
      </c>
      <c r="AJ48" s="101">
        <v>9</v>
      </c>
      <c r="AK48" s="101">
        <f t="shared" si="16"/>
        <v>2170.7999999999997</v>
      </c>
      <c r="AL48" s="102">
        <v>32.4</v>
      </c>
      <c r="AM48" s="101">
        <f t="shared" si="17"/>
        <v>11.864406779661017</v>
      </c>
      <c r="AN48" s="101">
        <v>14</v>
      </c>
      <c r="AO48" s="101">
        <f t="shared" si="18"/>
        <v>453.59999999999997</v>
      </c>
      <c r="AP48" s="101">
        <f t="shared" si="19"/>
        <v>7161.7372881355923</v>
      </c>
      <c r="AQ48" s="101">
        <f t="shared" si="52"/>
        <v>8450.8499999999985</v>
      </c>
      <c r="AR48" s="102">
        <v>740</v>
      </c>
      <c r="AS48" s="101" t="s">
        <v>270</v>
      </c>
      <c r="AT48" s="103">
        <v>0</v>
      </c>
      <c r="AU48" s="103">
        <f t="shared" si="53"/>
        <v>5.0847457627118651</v>
      </c>
      <c r="AV48" s="103">
        <v>6</v>
      </c>
      <c r="AW48" s="103">
        <f t="shared" si="24"/>
        <v>3762.71186440678</v>
      </c>
      <c r="AX48" s="103">
        <f t="shared" si="21"/>
        <v>4440</v>
      </c>
      <c r="AY48" s="104">
        <f t="shared" si="2"/>
        <v>10924.449152542373</v>
      </c>
      <c r="AZ48" s="105">
        <f t="shared" si="3"/>
        <v>12890.849999999999</v>
      </c>
      <c r="BA48" s="9"/>
      <c r="BB48" s="9"/>
      <c r="BC48" s="9"/>
      <c r="BD48" s="9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0"/>
      <c r="CL48" s="40"/>
      <c r="CM48" s="40"/>
      <c r="CN48" s="40"/>
      <c r="CO48" s="40"/>
    </row>
    <row r="49" spans="1:93" s="4" customFormat="1" ht="274.5" outlineLevel="1" x14ac:dyDescent="0.25">
      <c r="A49" s="97">
        <f t="shared" si="54"/>
        <v>36</v>
      </c>
      <c r="B49" s="98" t="s">
        <v>241</v>
      </c>
      <c r="C49" s="125" t="s">
        <v>77</v>
      </c>
      <c r="D49" s="99" t="s">
        <v>19</v>
      </c>
      <c r="E49" s="100">
        <f t="shared" si="50"/>
        <v>384.00000000000006</v>
      </c>
      <c r="F49" s="101">
        <v>0</v>
      </c>
      <c r="G49" s="101">
        <v>0</v>
      </c>
      <c r="H49" s="101">
        <v>0</v>
      </c>
      <c r="I49" s="101">
        <f t="shared" si="4"/>
        <v>0</v>
      </c>
      <c r="J49" s="100">
        <v>116.4</v>
      </c>
      <c r="K49" s="101">
        <f t="shared" si="5"/>
        <v>11.864406779661017</v>
      </c>
      <c r="L49" s="101">
        <v>14</v>
      </c>
      <c r="M49" s="101">
        <f t="shared" si="6"/>
        <v>1629.6000000000001</v>
      </c>
      <c r="N49" s="102">
        <v>20.2</v>
      </c>
      <c r="O49" s="101">
        <f t="shared" si="7"/>
        <v>4.2372881355932206</v>
      </c>
      <c r="P49" s="101">
        <v>5</v>
      </c>
      <c r="Q49" s="101">
        <f t="shared" si="8"/>
        <v>101</v>
      </c>
      <c r="R49" s="100">
        <v>42.2</v>
      </c>
      <c r="S49" s="101">
        <f t="shared" si="9"/>
        <v>14.40677966101695</v>
      </c>
      <c r="T49" s="101">
        <v>17</v>
      </c>
      <c r="U49" s="101">
        <f t="shared" si="10"/>
        <v>717.40000000000009</v>
      </c>
      <c r="V49" s="101">
        <v>94.5</v>
      </c>
      <c r="W49" s="101">
        <f t="shared" si="55"/>
        <v>5.9322033898305087</v>
      </c>
      <c r="X49" s="101">
        <v>7</v>
      </c>
      <c r="Y49" s="101">
        <f t="shared" si="11"/>
        <v>661.5</v>
      </c>
      <c r="Z49" s="100">
        <v>74.3</v>
      </c>
      <c r="AA49" s="101">
        <f t="shared" si="23"/>
        <v>5.5084745762711869</v>
      </c>
      <c r="AB49" s="101">
        <v>6.5</v>
      </c>
      <c r="AC49" s="101">
        <f t="shared" si="13"/>
        <v>482.95</v>
      </c>
      <c r="AD49" s="101">
        <v>0</v>
      </c>
      <c r="AE49" s="101"/>
      <c r="AF49" s="101"/>
      <c r="AG49" s="101">
        <f t="shared" si="14"/>
        <v>0</v>
      </c>
      <c r="AH49" s="102">
        <v>24.3</v>
      </c>
      <c r="AI49" s="101">
        <f t="shared" si="15"/>
        <v>7.6271186440677967</v>
      </c>
      <c r="AJ49" s="101">
        <v>9</v>
      </c>
      <c r="AK49" s="101">
        <f t="shared" si="16"/>
        <v>218.70000000000002</v>
      </c>
      <c r="AL49" s="102">
        <f>12.1</f>
        <v>12.1</v>
      </c>
      <c r="AM49" s="101">
        <f t="shared" si="17"/>
        <v>11.864406779661017</v>
      </c>
      <c r="AN49" s="101">
        <v>14</v>
      </c>
      <c r="AO49" s="101">
        <f t="shared" si="18"/>
        <v>169.4</v>
      </c>
      <c r="AP49" s="101">
        <f t="shared" si="19"/>
        <v>3373.3474576271187</v>
      </c>
      <c r="AQ49" s="101">
        <f t="shared" si="52"/>
        <v>3980.5499999999997</v>
      </c>
      <c r="AR49" s="102">
        <v>537</v>
      </c>
      <c r="AS49" s="101" t="s">
        <v>270</v>
      </c>
      <c r="AT49" s="103">
        <v>0</v>
      </c>
      <c r="AU49" s="103">
        <f t="shared" si="53"/>
        <v>5.0847457627118651</v>
      </c>
      <c r="AV49" s="103">
        <v>6</v>
      </c>
      <c r="AW49" s="103">
        <f t="shared" si="24"/>
        <v>2730.5084745762715</v>
      </c>
      <c r="AX49" s="103">
        <f t="shared" si="21"/>
        <v>3222</v>
      </c>
      <c r="AY49" s="104">
        <f t="shared" si="2"/>
        <v>6103.8559322033907</v>
      </c>
      <c r="AZ49" s="105">
        <f t="shared" si="3"/>
        <v>7202.5499999999993</v>
      </c>
      <c r="BA49" s="9"/>
      <c r="BB49" s="9"/>
      <c r="BC49" s="9"/>
      <c r="BD49" s="9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0"/>
      <c r="CL49" s="40"/>
      <c r="CM49" s="40"/>
      <c r="CN49" s="40"/>
      <c r="CO49" s="40"/>
    </row>
    <row r="50" spans="1:93" s="4" customFormat="1" ht="274.5" outlineLevel="1" x14ac:dyDescent="0.25">
      <c r="A50" s="97">
        <f>A49+1</f>
        <v>37</v>
      </c>
      <c r="B50" s="98" t="s">
        <v>239</v>
      </c>
      <c r="C50" s="125" t="s">
        <v>78</v>
      </c>
      <c r="D50" s="99" t="s">
        <v>19</v>
      </c>
      <c r="E50" s="100">
        <f t="shared" si="50"/>
        <v>342.2</v>
      </c>
      <c r="F50" s="101">
        <v>0</v>
      </c>
      <c r="G50" s="101">
        <v>0</v>
      </c>
      <c r="H50" s="101">
        <v>0</v>
      </c>
      <c r="I50" s="101">
        <f t="shared" si="4"/>
        <v>0</v>
      </c>
      <c r="J50" s="100">
        <v>78.400000000000006</v>
      </c>
      <c r="K50" s="101">
        <f t="shared" si="5"/>
        <v>11.864406779661017</v>
      </c>
      <c r="L50" s="101">
        <v>14</v>
      </c>
      <c r="M50" s="101">
        <f t="shared" si="6"/>
        <v>1097.6000000000001</v>
      </c>
      <c r="N50" s="102">
        <v>44.1</v>
      </c>
      <c r="O50" s="101">
        <f t="shared" si="7"/>
        <v>4.2372881355932206</v>
      </c>
      <c r="P50" s="101">
        <v>5</v>
      </c>
      <c r="Q50" s="101">
        <f t="shared" si="8"/>
        <v>220.5</v>
      </c>
      <c r="R50" s="100">
        <v>57.9</v>
      </c>
      <c r="S50" s="101">
        <f t="shared" si="9"/>
        <v>14.40677966101695</v>
      </c>
      <c r="T50" s="101">
        <v>17</v>
      </c>
      <c r="U50" s="101">
        <f t="shared" si="10"/>
        <v>984.3</v>
      </c>
      <c r="V50" s="101">
        <v>0</v>
      </c>
      <c r="W50" s="101">
        <f t="shared" ref="W50:W51" si="56">X50/1.18</f>
        <v>5.9322033898305087</v>
      </c>
      <c r="X50" s="101">
        <v>7</v>
      </c>
      <c r="Y50" s="101">
        <f t="shared" si="11"/>
        <v>0</v>
      </c>
      <c r="Z50" s="100">
        <v>73.599999999999994</v>
      </c>
      <c r="AA50" s="101">
        <f t="shared" si="23"/>
        <v>5.5084745762711869</v>
      </c>
      <c r="AB50" s="101">
        <v>6.5</v>
      </c>
      <c r="AC50" s="101">
        <f t="shared" si="13"/>
        <v>478.4</v>
      </c>
      <c r="AD50" s="101">
        <v>0</v>
      </c>
      <c r="AE50" s="101"/>
      <c r="AF50" s="101"/>
      <c r="AG50" s="101">
        <f t="shared" si="14"/>
        <v>0</v>
      </c>
      <c r="AH50" s="102">
        <v>80.2</v>
      </c>
      <c r="AI50" s="101">
        <f t="shared" si="15"/>
        <v>7.6271186440677967</v>
      </c>
      <c r="AJ50" s="101">
        <v>9</v>
      </c>
      <c r="AK50" s="101">
        <f t="shared" si="16"/>
        <v>721.80000000000007</v>
      </c>
      <c r="AL50" s="102">
        <v>8</v>
      </c>
      <c r="AM50" s="101">
        <f t="shared" si="17"/>
        <v>11.864406779661017</v>
      </c>
      <c r="AN50" s="101">
        <v>14</v>
      </c>
      <c r="AO50" s="101">
        <f t="shared" si="18"/>
        <v>112</v>
      </c>
      <c r="AP50" s="101">
        <f t="shared" si="19"/>
        <v>3063.2203389830515</v>
      </c>
      <c r="AQ50" s="101">
        <f t="shared" si="52"/>
        <v>3614.6000000000004</v>
      </c>
      <c r="AR50" s="102">
        <v>700</v>
      </c>
      <c r="AS50" s="101" t="s">
        <v>270</v>
      </c>
      <c r="AT50" s="103">
        <v>0</v>
      </c>
      <c r="AU50" s="103">
        <f t="shared" si="53"/>
        <v>5.0847457627118651</v>
      </c>
      <c r="AV50" s="103">
        <v>6</v>
      </c>
      <c r="AW50" s="103">
        <f t="shared" si="24"/>
        <v>3559.3220338983056</v>
      </c>
      <c r="AX50" s="103">
        <f t="shared" si="21"/>
        <v>4200</v>
      </c>
      <c r="AY50" s="104">
        <f t="shared" si="2"/>
        <v>6622.5423728813566</v>
      </c>
      <c r="AZ50" s="105">
        <f t="shared" si="3"/>
        <v>7814.6</v>
      </c>
      <c r="BA50" s="9"/>
      <c r="BB50" s="9"/>
      <c r="BC50" s="9"/>
      <c r="BD50" s="9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0"/>
      <c r="CL50" s="40"/>
      <c r="CM50" s="40"/>
      <c r="CN50" s="40"/>
      <c r="CO50" s="40"/>
    </row>
    <row r="51" spans="1:93" s="4" customFormat="1" ht="274.5" outlineLevel="1" x14ac:dyDescent="0.25">
      <c r="A51" s="97">
        <f t="shared" si="54"/>
        <v>38</v>
      </c>
      <c r="B51" s="98" t="s">
        <v>240</v>
      </c>
      <c r="C51" s="125" t="s">
        <v>79</v>
      </c>
      <c r="D51" s="99" t="s">
        <v>19</v>
      </c>
      <c r="E51" s="100">
        <f t="shared" si="50"/>
        <v>501.7</v>
      </c>
      <c r="F51" s="101">
        <v>0</v>
      </c>
      <c r="G51" s="101">
        <v>0</v>
      </c>
      <c r="H51" s="101">
        <v>0</v>
      </c>
      <c r="I51" s="101">
        <f t="shared" si="4"/>
        <v>0</v>
      </c>
      <c r="J51" s="100">
        <v>188.7</v>
      </c>
      <c r="K51" s="101">
        <f t="shared" si="5"/>
        <v>11.864406779661017</v>
      </c>
      <c r="L51" s="101">
        <v>14</v>
      </c>
      <c r="M51" s="101">
        <f t="shared" si="6"/>
        <v>2641.7999999999997</v>
      </c>
      <c r="N51" s="102">
        <v>37</v>
      </c>
      <c r="O51" s="101">
        <f t="shared" si="7"/>
        <v>4.2372881355932206</v>
      </c>
      <c r="P51" s="101">
        <v>5</v>
      </c>
      <c r="Q51" s="101">
        <f t="shared" si="8"/>
        <v>185</v>
      </c>
      <c r="R51" s="100">
        <f>21.2</f>
        <v>21.2</v>
      </c>
      <c r="S51" s="101">
        <f t="shared" si="9"/>
        <v>14.40677966101695</v>
      </c>
      <c r="T51" s="101">
        <v>17</v>
      </c>
      <c r="U51" s="101">
        <f t="shared" si="10"/>
        <v>360.4</v>
      </c>
      <c r="V51" s="101">
        <v>32.1</v>
      </c>
      <c r="W51" s="101">
        <f t="shared" si="56"/>
        <v>5.9322033898305087</v>
      </c>
      <c r="X51" s="101">
        <v>7</v>
      </c>
      <c r="Y51" s="101">
        <f t="shared" si="11"/>
        <v>224.70000000000002</v>
      </c>
      <c r="Z51" s="100">
        <v>160.9</v>
      </c>
      <c r="AA51" s="101">
        <f t="shared" si="23"/>
        <v>5.5084745762711869</v>
      </c>
      <c r="AB51" s="101">
        <v>6.5</v>
      </c>
      <c r="AC51" s="101">
        <f t="shared" si="13"/>
        <v>1045.8500000000001</v>
      </c>
      <c r="AD51" s="101">
        <v>0</v>
      </c>
      <c r="AE51" s="101"/>
      <c r="AF51" s="101"/>
      <c r="AG51" s="101">
        <f t="shared" si="14"/>
        <v>0</v>
      </c>
      <c r="AH51" s="102">
        <v>54.2</v>
      </c>
      <c r="AI51" s="101">
        <f t="shared" si="15"/>
        <v>7.6271186440677967</v>
      </c>
      <c r="AJ51" s="101">
        <v>9</v>
      </c>
      <c r="AK51" s="101">
        <f t="shared" si="16"/>
        <v>487.8</v>
      </c>
      <c r="AL51" s="102">
        <v>7.6</v>
      </c>
      <c r="AM51" s="101">
        <f t="shared" si="17"/>
        <v>11.864406779661017</v>
      </c>
      <c r="AN51" s="101">
        <v>14</v>
      </c>
      <c r="AO51" s="101">
        <f t="shared" si="18"/>
        <v>106.39999999999999</v>
      </c>
      <c r="AP51" s="101">
        <f t="shared" si="19"/>
        <v>4281.3135593220341</v>
      </c>
      <c r="AQ51" s="101">
        <f t="shared" si="52"/>
        <v>5051.95</v>
      </c>
      <c r="AR51" s="102">
        <v>240</v>
      </c>
      <c r="AS51" s="101" t="s">
        <v>270</v>
      </c>
      <c r="AT51" s="103">
        <v>0</v>
      </c>
      <c r="AU51" s="103">
        <f t="shared" si="53"/>
        <v>5.0847457627118651</v>
      </c>
      <c r="AV51" s="103">
        <v>6</v>
      </c>
      <c r="AW51" s="103">
        <f t="shared" si="24"/>
        <v>1220.3389830508477</v>
      </c>
      <c r="AX51" s="103">
        <f t="shared" si="21"/>
        <v>1440</v>
      </c>
      <c r="AY51" s="104">
        <f t="shared" si="2"/>
        <v>5501.6525423728817</v>
      </c>
      <c r="AZ51" s="105">
        <f t="shared" si="3"/>
        <v>6491.95</v>
      </c>
      <c r="BA51" s="9"/>
      <c r="BB51" s="9"/>
      <c r="BC51" s="9"/>
      <c r="BD51" s="9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0"/>
      <c r="CL51" s="40"/>
      <c r="CM51" s="40"/>
      <c r="CN51" s="40"/>
      <c r="CO51" s="40"/>
    </row>
    <row r="52" spans="1:93" s="4" customFormat="1" ht="228.75" outlineLevel="1" x14ac:dyDescent="0.25">
      <c r="A52" s="97">
        <f t="shared" si="54"/>
        <v>39</v>
      </c>
      <c r="B52" s="128" t="s">
        <v>290</v>
      </c>
      <c r="C52" s="125" t="s">
        <v>83</v>
      </c>
      <c r="D52" s="99" t="s">
        <v>19</v>
      </c>
      <c r="E52" s="100">
        <f t="shared" si="50"/>
        <v>925.2</v>
      </c>
      <c r="F52" s="101">
        <v>0</v>
      </c>
      <c r="G52" s="101">
        <v>0</v>
      </c>
      <c r="H52" s="101">
        <v>0</v>
      </c>
      <c r="I52" s="101">
        <f>H52*F52</f>
        <v>0</v>
      </c>
      <c r="J52" s="100">
        <v>412.6</v>
      </c>
      <c r="K52" s="101">
        <f>L52/1.18</f>
        <v>11.864406779661017</v>
      </c>
      <c r="L52" s="101">
        <v>14</v>
      </c>
      <c r="M52" s="101">
        <f>L52*J52</f>
        <v>5776.4000000000005</v>
      </c>
      <c r="N52" s="102">
        <v>137.4</v>
      </c>
      <c r="O52" s="101">
        <f>P52/1.18</f>
        <v>4.2372881355932206</v>
      </c>
      <c r="P52" s="101">
        <v>5</v>
      </c>
      <c r="Q52" s="101">
        <f>P52*N52</f>
        <v>687</v>
      </c>
      <c r="R52" s="100">
        <v>0</v>
      </c>
      <c r="S52" s="101">
        <f>T52/1.18</f>
        <v>14.40677966101695</v>
      </c>
      <c r="T52" s="101">
        <v>17</v>
      </c>
      <c r="U52" s="101">
        <f>T52*R52</f>
        <v>0</v>
      </c>
      <c r="V52" s="101">
        <v>29.4</v>
      </c>
      <c r="W52" s="101">
        <f>X52/1.18</f>
        <v>5.9322033898305087</v>
      </c>
      <c r="X52" s="101">
        <v>7</v>
      </c>
      <c r="Y52" s="101">
        <f>X52*V52</f>
        <v>205.79999999999998</v>
      </c>
      <c r="Z52" s="100">
        <v>50.1</v>
      </c>
      <c r="AA52" s="101">
        <f>AB52/1.18</f>
        <v>5.5084745762711869</v>
      </c>
      <c r="AB52" s="101">
        <v>6.5</v>
      </c>
      <c r="AC52" s="101">
        <f>AB52*Z52</f>
        <v>325.65000000000003</v>
      </c>
      <c r="AD52" s="101">
        <v>0</v>
      </c>
      <c r="AE52" s="101"/>
      <c r="AF52" s="101"/>
      <c r="AG52" s="101">
        <f>AF52*AD52</f>
        <v>0</v>
      </c>
      <c r="AH52" s="102">
        <v>292.5</v>
      </c>
      <c r="AI52" s="101">
        <f>AJ52/1.18</f>
        <v>7.6271186440677967</v>
      </c>
      <c r="AJ52" s="101">
        <v>9</v>
      </c>
      <c r="AK52" s="101">
        <f>AJ52*AH52</f>
        <v>2632.5</v>
      </c>
      <c r="AL52" s="102">
        <v>3.2</v>
      </c>
      <c r="AM52" s="101">
        <f>AN52/1.18</f>
        <v>11.864406779661017</v>
      </c>
      <c r="AN52" s="101">
        <v>14</v>
      </c>
      <c r="AO52" s="101">
        <f>AN52*AL52</f>
        <v>44.800000000000004</v>
      </c>
      <c r="AP52" s="101">
        <f t="shared" si="19"/>
        <v>8196.7372881355932</v>
      </c>
      <c r="AQ52" s="101">
        <f t="shared" si="52"/>
        <v>9672.15</v>
      </c>
      <c r="AR52" s="102">
        <v>894</v>
      </c>
      <c r="AS52" s="101" t="s">
        <v>270</v>
      </c>
      <c r="AT52" s="103">
        <v>0</v>
      </c>
      <c r="AU52" s="103">
        <f t="shared" si="53"/>
        <v>5.0847457627118651</v>
      </c>
      <c r="AV52" s="103">
        <v>6</v>
      </c>
      <c r="AW52" s="103">
        <f>AU52*AR52</f>
        <v>4545.7627118644077</v>
      </c>
      <c r="AX52" s="103">
        <f>AV52*AR52</f>
        <v>5364</v>
      </c>
      <c r="AY52" s="104">
        <f t="shared" si="2"/>
        <v>12742.5</v>
      </c>
      <c r="AZ52" s="105">
        <f t="shared" si="3"/>
        <v>15036.15</v>
      </c>
      <c r="BA52" s="9"/>
      <c r="BB52" s="9"/>
      <c r="BC52" s="9"/>
      <c r="BD52" s="9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0"/>
      <c r="CL52" s="40"/>
      <c r="CM52" s="40"/>
      <c r="CN52" s="40"/>
      <c r="CO52" s="40"/>
    </row>
    <row r="53" spans="1:93" s="4" customFormat="1" ht="320.25" outlineLevel="1" x14ac:dyDescent="0.25">
      <c r="A53" s="97">
        <f t="shared" si="54"/>
        <v>40</v>
      </c>
      <c r="B53" s="98" t="s">
        <v>21</v>
      </c>
      <c r="C53" s="125" t="s">
        <v>82</v>
      </c>
      <c r="D53" s="99" t="s">
        <v>19</v>
      </c>
      <c r="E53" s="100">
        <f t="shared" si="50"/>
        <v>634.5</v>
      </c>
      <c r="F53" s="101">
        <v>0</v>
      </c>
      <c r="G53" s="101">
        <v>0</v>
      </c>
      <c r="H53" s="101">
        <v>0</v>
      </c>
      <c r="I53" s="101">
        <f>H53*F53</f>
        <v>0</v>
      </c>
      <c r="J53" s="100">
        <v>435.6</v>
      </c>
      <c r="K53" s="101">
        <f>L53/1.18</f>
        <v>11.864406779661017</v>
      </c>
      <c r="L53" s="101">
        <v>14</v>
      </c>
      <c r="M53" s="101">
        <f>L53*J53</f>
        <v>6098.4000000000005</v>
      </c>
      <c r="N53" s="102">
        <v>12</v>
      </c>
      <c r="O53" s="101">
        <f>P53/1.18</f>
        <v>4.2372881355932206</v>
      </c>
      <c r="P53" s="101">
        <v>5</v>
      </c>
      <c r="Q53" s="101">
        <f>P53*N53</f>
        <v>60</v>
      </c>
      <c r="R53" s="100">
        <v>46.7</v>
      </c>
      <c r="S53" s="101">
        <f>T53/1.18</f>
        <v>14.40677966101695</v>
      </c>
      <c r="T53" s="101">
        <v>17</v>
      </c>
      <c r="U53" s="101">
        <f>T53*R53</f>
        <v>793.90000000000009</v>
      </c>
      <c r="V53" s="101">
        <v>24.6</v>
      </c>
      <c r="W53" s="101">
        <f>X53/1.18</f>
        <v>5.9322033898305087</v>
      </c>
      <c r="X53" s="101">
        <v>7</v>
      </c>
      <c r="Y53" s="101">
        <f>X53*V53</f>
        <v>172.20000000000002</v>
      </c>
      <c r="Z53" s="100">
        <v>0</v>
      </c>
      <c r="AA53" s="101">
        <f>AB53/1.18</f>
        <v>5.5084745762711869</v>
      </c>
      <c r="AB53" s="101">
        <v>6.5</v>
      </c>
      <c r="AC53" s="101">
        <f>AB53*Z53</f>
        <v>0</v>
      </c>
      <c r="AD53" s="101">
        <v>0</v>
      </c>
      <c r="AE53" s="101"/>
      <c r="AF53" s="101"/>
      <c r="AG53" s="101">
        <f>AF53*AD53</f>
        <v>0</v>
      </c>
      <c r="AH53" s="102">
        <v>102.6</v>
      </c>
      <c r="AI53" s="101">
        <f>AJ53/1.18</f>
        <v>7.6271186440677967</v>
      </c>
      <c r="AJ53" s="101">
        <v>9</v>
      </c>
      <c r="AK53" s="101">
        <f>AJ53*AH53</f>
        <v>923.4</v>
      </c>
      <c r="AL53" s="102">
        <v>13</v>
      </c>
      <c r="AM53" s="101">
        <f>AN53/1.18</f>
        <v>11.864406779661017</v>
      </c>
      <c r="AN53" s="101">
        <v>14</v>
      </c>
      <c r="AO53" s="101">
        <f>AN53*AL53</f>
        <v>182</v>
      </c>
      <c r="AP53" s="101">
        <f t="shared" si="19"/>
        <v>6974.4915254237303</v>
      </c>
      <c r="AQ53" s="101">
        <f t="shared" si="52"/>
        <v>8229.9000000000015</v>
      </c>
      <c r="AR53" s="102">
        <v>350</v>
      </c>
      <c r="AS53" s="101" t="s">
        <v>270</v>
      </c>
      <c r="AT53" s="103">
        <v>0</v>
      </c>
      <c r="AU53" s="103">
        <f t="shared" si="53"/>
        <v>5.0847457627118651</v>
      </c>
      <c r="AV53" s="103">
        <v>6</v>
      </c>
      <c r="AW53" s="103">
        <f>AU53*AR53</f>
        <v>1779.6610169491528</v>
      </c>
      <c r="AX53" s="103">
        <f>AV53*AR53</f>
        <v>2100</v>
      </c>
      <c r="AY53" s="104">
        <f t="shared" si="2"/>
        <v>8754.1525423728835</v>
      </c>
      <c r="AZ53" s="105">
        <f t="shared" si="3"/>
        <v>10329.900000000001</v>
      </c>
      <c r="BA53" s="9"/>
      <c r="BB53" s="9"/>
      <c r="BC53" s="9"/>
      <c r="BD53" s="9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0"/>
      <c r="CL53" s="40"/>
      <c r="CM53" s="40"/>
      <c r="CN53" s="40"/>
      <c r="CO53" s="40"/>
    </row>
    <row r="54" spans="1:93" s="4" customFormat="1" ht="45.75" outlineLevel="1" x14ac:dyDescent="0.25">
      <c r="A54" s="147" t="s">
        <v>190</v>
      </c>
      <c r="B54" s="148"/>
      <c r="C54" s="148"/>
      <c r="D54" s="106"/>
      <c r="E54" s="100"/>
      <c r="F54" s="106"/>
      <c r="G54" s="101">
        <v>0</v>
      </c>
      <c r="H54" s="101">
        <v>0</v>
      </c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7"/>
      <c r="AQ54" s="107"/>
      <c r="AR54" s="106"/>
      <c r="AS54" s="101"/>
      <c r="AT54" s="106"/>
      <c r="AU54" s="106"/>
      <c r="AV54" s="106"/>
      <c r="AW54" s="106"/>
      <c r="AX54" s="106"/>
      <c r="AY54" s="107"/>
      <c r="AZ54" s="108"/>
      <c r="BA54" s="9"/>
      <c r="BB54" s="9"/>
      <c r="BC54" s="9"/>
      <c r="BD54" s="9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0"/>
      <c r="CL54" s="40"/>
      <c r="CM54" s="40"/>
      <c r="CN54" s="40"/>
      <c r="CO54" s="40"/>
    </row>
    <row r="55" spans="1:93" s="40" customFormat="1" ht="320.25" outlineLevel="1" x14ac:dyDescent="0.25">
      <c r="A55" s="97">
        <f>A53+1</f>
        <v>41</v>
      </c>
      <c r="B55" s="98" t="s">
        <v>21</v>
      </c>
      <c r="C55" s="125" t="s">
        <v>186</v>
      </c>
      <c r="D55" s="99" t="s">
        <v>19</v>
      </c>
      <c r="E55" s="100">
        <f t="shared" ref="E55:E62" si="57">F55+J55+N55+R55+V55+Z55+AD55+AH55+AL55</f>
        <v>648</v>
      </c>
      <c r="F55" s="101">
        <v>0</v>
      </c>
      <c r="G55" s="101">
        <v>0</v>
      </c>
      <c r="H55" s="101">
        <v>0</v>
      </c>
      <c r="I55" s="101">
        <f>H55*F55</f>
        <v>0</v>
      </c>
      <c r="J55" s="100">
        <v>92.4</v>
      </c>
      <c r="K55" s="101">
        <f>L55/1.18</f>
        <v>11.864406779661017</v>
      </c>
      <c r="L55" s="101">
        <v>14</v>
      </c>
      <c r="M55" s="101">
        <f>L55*J55</f>
        <v>1293.6000000000001</v>
      </c>
      <c r="N55" s="102">
        <v>76.2</v>
      </c>
      <c r="O55" s="101">
        <f>P55/1.18</f>
        <v>4.2372881355932206</v>
      </c>
      <c r="P55" s="101">
        <v>5</v>
      </c>
      <c r="Q55" s="101">
        <f>P55*N55</f>
        <v>381</v>
      </c>
      <c r="R55" s="100">
        <v>18.600000000000001</v>
      </c>
      <c r="S55" s="101">
        <f>T55/1.18</f>
        <v>14.40677966101695</v>
      </c>
      <c r="T55" s="101">
        <v>17</v>
      </c>
      <c r="U55" s="101">
        <f>T55*R55</f>
        <v>316.20000000000005</v>
      </c>
      <c r="V55" s="101">
        <v>121.9</v>
      </c>
      <c r="W55" s="101">
        <v>4.2</v>
      </c>
      <c r="X55" s="101">
        <v>7</v>
      </c>
      <c r="Y55" s="101">
        <f>X55*V55</f>
        <v>853.30000000000007</v>
      </c>
      <c r="Z55" s="100">
        <v>53</v>
      </c>
      <c r="AA55" s="101">
        <f>AB55/1.18</f>
        <v>5.5084745762711869</v>
      </c>
      <c r="AB55" s="101">
        <v>6.5</v>
      </c>
      <c r="AC55" s="101">
        <f>AB55*Z55</f>
        <v>344.5</v>
      </c>
      <c r="AD55" s="101">
        <v>0</v>
      </c>
      <c r="AE55" s="101"/>
      <c r="AF55" s="101"/>
      <c r="AG55" s="101">
        <f>AF55*AD55</f>
        <v>0</v>
      </c>
      <c r="AH55" s="102">
        <v>276.39999999999998</v>
      </c>
      <c r="AI55" s="101">
        <f>AJ55/1.18</f>
        <v>7.6271186440677967</v>
      </c>
      <c r="AJ55" s="101">
        <v>9</v>
      </c>
      <c r="AK55" s="101">
        <f>AJ55*AH55</f>
        <v>2487.6</v>
      </c>
      <c r="AL55" s="102">
        <v>9.5</v>
      </c>
      <c r="AM55" s="101">
        <f>AN55/1.18</f>
        <v>11.864406779661017</v>
      </c>
      <c r="AN55" s="101">
        <v>14</v>
      </c>
      <c r="AO55" s="101">
        <f>AN55*AL55</f>
        <v>133</v>
      </c>
      <c r="AP55" s="101">
        <f t="shared" si="19"/>
        <v>4923.0508474576282</v>
      </c>
      <c r="AQ55" s="101">
        <f t="shared" ref="AQ55:AQ62" si="58">I55+M55+Q55+U55+Y55+AC55+AG55+AK55+AO55</f>
        <v>5809.2000000000007</v>
      </c>
      <c r="AR55" s="102">
        <v>393</v>
      </c>
      <c r="AS55" s="101" t="s">
        <v>270</v>
      </c>
      <c r="AT55" s="103">
        <v>0</v>
      </c>
      <c r="AU55" s="103">
        <f>AV55/1.18</f>
        <v>5.0847457627118651</v>
      </c>
      <c r="AV55" s="103">
        <v>6</v>
      </c>
      <c r="AW55" s="103">
        <f>AU55*AR55</f>
        <v>1998.305084745763</v>
      </c>
      <c r="AX55" s="103">
        <f>AV55*AR55</f>
        <v>2358</v>
      </c>
      <c r="AY55" s="104">
        <f t="shared" si="2"/>
        <v>6921.3559322033907</v>
      </c>
      <c r="AZ55" s="105">
        <f t="shared" si="3"/>
        <v>8167.2000000000007</v>
      </c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</row>
    <row r="56" spans="1:93" s="40" customFormat="1" ht="183" outlineLevel="1" x14ac:dyDescent="0.25">
      <c r="A56" s="97">
        <f>A55+1</f>
        <v>42</v>
      </c>
      <c r="B56" s="98" t="s">
        <v>21</v>
      </c>
      <c r="C56" s="125" t="s">
        <v>76</v>
      </c>
      <c r="D56" s="99" t="s">
        <v>19</v>
      </c>
      <c r="E56" s="100">
        <f t="shared" si="57"/>
        <v>1140.3</v>
      </c>
      <c r="F56" s="101">
        <v>0</v>
      </c>
      <c r="G56" s="101">
        <v>0</v>
      </c>
      <c r="H56" s="101">
        <v>0</v>
      </c>
      <c r="I56" s="101">
        <f>H56*F56</f>
        <v>0</v>
      </c>
      <c r="J56" s="100">
        <f>63.4+67.6</f>
        <v>131</v>
      </c>
      <c r="K56" s="101">
        <f>L56/1.18</f>
        <v>11.864406779661017</v>
      </c>
      <c r="L56" s="101">
        <v>14</v>
      </c>
      <c r="M56" s="101">
        <f>L56*J56</f>
        <v>1834</v>
      </c>
      <c r="N56" s="102">
        <f>20.6+86.3+34.3+160.8+32.6+65.5+35+196.4+136.1</f>
        <v>767.6</v>
      </c>
      <c r="O56" s="101">
        <f>P56/1.18</f>
        <v>4.2372881355932206</v>
      </c>
      <c r="P56" s="101">
        <v>5</v>
      </c>
      <c r="Q56" s="101">
        <f>P56*N56</f>
        <v>3838</v>
      </c>
      <c r="R56" s="100">
        <f>46.6+102.7</f>
        <v>149.30000000000001</v>
      </c>
      <c r="S56" s="101">
        <f>T56/1.18</f>
        <v>14.40677966101695</v>
      </c>
      <c r="T56" s="101">
        <v>17</v>
      </c>
      <c r="U56" s="101">
        <f>T56*R56</f>
        <v>2538.1000000000004</v>
      </c>
      <c r="V56" s="101">
        <v>0</v>
      </c>
      <c r="W56" s="101">
        <f t="shared" ref="W56:W57" si="59">X56/1.18</f>
        <v>5.9322033898305087</v>
      </c>
      <c r="X56" s="101">
        <v>7</v>
      </c>
      <c r="Y56" s="101">
        <f>X56*V56</f>
        <v>0</v>
      </c>
      <c r="Z56" s="100">
        <f>8.1</f>
        <v>8.1</v>
      </c>
      <c r="AA56" s="101">
        <f>AB56/1.18</f>
        <v>5.5084745762711869</v>
      </c>
      <c r="AB56" s="101">
        <v>6.5</v>
      </c>
      <c r="AC56" s="101">
        <f>AB56*Z56</f>
        <v>52.65</v>
      </c>
      <c r="AD56" s="101">
        <v>0</v>
      </c>
      <c r="AE56" s="101"/>
      <c r="AF56" s="101"/>
      <c r="AG56" s="101">
        <f>AF56*AD56</f>
        <v>0</v>
      </c>
      <c r="AH56" s="102">
        <v>51</v>
      </c>
      <c r="AI56" s="101">
        <f>AJ56/1.18</f>
        <v>7.6271186440677967</v>
      </c>
      <c r="AJ56" s="101">
        <v>9</v>
      </c>
      <c r="AK56" s="101">
        <f>AJ56*AH56</f>
        <v>459</v>
      </c>
      <c r="AL56" s="102">
        <f>9+10.8+7.6+5.9</f>
        <v>33.299999999999997</v>
      </c>
      <c r="AM56" s="101">
        <f>AN56/1.18</f>
        <v>11.864406779661017</v>
      </c>
      <c r="AN56" s="101">
        <v>14</v>
      </c>
      <c r="AO56" s="101">
        <f>AN56*AL56</f>
        <v>466.19999999999993</v>
      </c>
      <c r="AP56" s="101">
        <f t="shared" si="19"/>
        <v>7786.3983050847464</v>
      </c>
      <c r="AQ56" s="101">
        <f t="shared" si="58"/>
        <v>9187.9500000000007</v>
      </c>
      <c r="AR56" s="102">
        <f>360+400</f>
        <v>760</v>
      </c>
      <c r="AS56" s="101" t="s">
        <v>270</v>
      </c>
      <c r="AT56" s="103">
        <v>0</v>
      </c>
      <c r="AU56" s="103">
        <f t="shared" ref="AU56:AU62" si="60">AV56/1.18</f>
        <v>5.0847457627118651</v>
      </c>
      <c r="AV56" s="103">
        <v>6</v>
      </c>
      <c r="AW56" s="103">
        <f>AU56*AR56</f>
        <v>3864.4067796610175</v>
      </c>
      <c r="AX56" s="103">
        <f>AV56*AR56</f>
        <v>4560</v>
      </c>
      <c r="AY56" s="104">
        <f t="shared" si="2"/>
        <v>11650.805084745763</v>
      </c>
      <c r="AZ56" s="105">
        <f t="shared" si="3"/>
        <v>13747.95</v>
      </c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</row>
    <row r="57" spans="1:93" s="4" customFormat="1" ht="183" outlineLevel="1" x14ac:dyDescent="0.25">
      <c r="A57" s="97">
        <v>43</v>
      </c>
      <c r="B57" s="98" t="s">
        <v>21</v>
      </c>
      <c r="C57" s="125" t="s">
        <v>244</v>
      </c>
      <c r="D57" s="99" t="s">
        <v>19</v>
      </c>
      <c r="E57" s="100">
        <f t="shared" si="57"/>
        <v>782.17000000000007</v>
      </c>
      <c r="F57" s="101">
        <v>0</v>
      </c>
      <c r="G57" s="101">
        <v>0</v>
      </c>
      <c r="H57" s="101">
        <v>0</v>
      </c>
      <c r="I57" s="101">
        <f t="shared" ref="I57" si="61">H57*F57</f>
        <v>0</v>
      </c>
      <c r="J57" s="100">
        <f>121.57+119.1</f>
        <v>240.67</v>
      </c>
      <c r="K57" s="101">
        <f t="shared" ref="K57" si="62">L57/1.18</f>
        <v>11.864406779661017</v>
      </c>
      <c r="L57" s="101">
        <v>14</v>
      </c>
      <c r="M57" s="101">
        <f t="shared" ref="M57" si="63">L57*J57</f>
        <v>3369.3799999999997</v>
      </c>
      <c r="N57" s="102">
        <v>88.7</v>
      </c>
      <c r="O57" s="101">
        <f t="shared" ref="O57" si="64">P57/1.18</f>
        <v>4.2372881355932206</v>
      </c>
      <c r="P57" s="101">
        <v>5</v>
      </c>
      <c r="Q57" s="101">
        <f t="shared" ref="Q57" si="65">P57*N57</f>
        <v>443.5</v>
      </c>
      <c r="R57" s="100">
        <v>42.2</v>
      </c>
      <c r="S57" s="101">
        <f t="shared" ref="S57" si="66">T57/1.18</f>
        <v>14.40677966101695</v>
      </c>
      <c r="T57" s="101">
        <v>17</v>
      </c>
      <c r="U57" s="101">
        <f t="shared" ref="U57" si="67">T57*R57</f>
        <v>717.40000000000009</v>
      </c>
      <c r="V57" s="101">
        <v>190.9</v>
      </c>
      <c r="W57" s="101">
        <f t="shared" si="59"/>
        <v>5.9322033898305087</v>
      </c>
      <c r="X57" s="101">
        <v>7</v>
      </c>
      <c r="Y57" s="101">
        <f t="shared" ref="Y57" si="68">X57*V57</f>
        <v>1336.3</v>
      </c>
      <c r="Z57" s="100">
        <v>0</v>
      </c>
      <c r="AA57" s="101">
        <f t="shared" ref="AA57" si="69">AB57/1.18</f>
        <v>5.5084745762711869</v>
      </c>
      <c r="AB57" s="101">
        <v>6.5</v>
      </c>
      <c r="AC57" s="101">
        <f t="shared" ref="AC57" si="70">AB57*Z57</f>
        <v>0</v>
      </c>
      <c r="AD57" s="101">
        <v>0</v>
      </c>
      <c r="AE57" s="101"/>
      <c r="AF57" s="101"/>
      <c r="AG57" s="101">
        <f t="shared" ref="AG57" si="71">AF57*AD57</f>
        <v>0</v>
      </c>
      <c r="AH57" s="102">
        <v>210.7</v>
      </c>
      <c r="AI57" s="101">
        <f t="shared" ref="AI57" si="72">AJ57/1.18</f>
        <v>7.6271186440677967</v>
      </c>
      <c r="AJ57" s="101">
        <v>9</v>
      </c>
      <c r="AK57" s="101">
        <f t="shared" ref="AK57" si="73">AJ57*AH57</f>
        <v>1896.3</v>
      </c>
      <c r="AL57" s="102">
        <v>9</v>
      </c>
      <c r="AM57" s="101">
        <f t="shared" ref="AM57" si="74">AN57/1.18</f>
        <v>11.864406779661017</v>
      </c>
      <c r="AN57" s="101">
        <v>14</v>
      </c>
      <c r="AO57" s="101">
        <f t="shared" ref="AO57" si="75">AN57*AL57</f>
        <v>126</v>
      </c>
      <c r="AP57" s="101">
        <f t="shared" si="19"/>
        <v>6685.4915254237294</v>
      </c>
      <c r="AQ57" s="101">
        <f t="shared" si="58"/>
        <v>7888.88</v>
      </c>
      <c r="AR57" s="102">
        <v>600</v>
      </c>
      <c r="AS57" s="101" t="s">
        <v>270</v>
      </c>
      <c r="AT57" s="103">
        <v>0</v>
      </c>
      <c r="AU57" s="103">
        <f t="shared" si="60"/>
        <v>5.0847457627118651</v>
      </c>
      <c r="AV57" s="103">
        <v>6</v>
      </c>
      <c r="AW57" s="103">
        <f t="shared" ref="AW57" si="76">AU57*AR57</f>
        <v>3050.8474576271192</v>
      </c>
      <c r="AX57" s="103">
        <f t="shared" ref="AX57" si="77">AV57*AR57</f>
        <v>3600</v>
      </c>
      <c r="AY57" s="104">
        <f t="shared" si="2"/>
        <v>9736.3389830508495</v>
      </c>
      <c r="AZ57" s="105">
        <f t="shared" si="3"/>
        <v>11488.880000000001</v>
      </c>
      <c r="BA57" s="9"/>
      <c r="BB57" s="9"/>
      <c r="BC57" s="9"/>
      <c r="BD57" s="9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0"/>
      <c r="CL57" s="40"/>
      <c r="CM57" s="40"/>
      <c r="CN57" s="40"/>
      <c r="CO57" s="40"/>
    </row>
    <row r="58" spans="1:93" s="4" customFormat="1" ht="228.75" outlineLevel="1" x14ac:dyDescent="0.25">
      <c r="A58" s="97">
        <f t="shared" ref="A58" si="78">A57+1</f>
        <v>44</v>
      </c>
      <c r="B58" s="98" t="s">
        <v>212</v>
      </c>
      <c r="C58" s="125" t="s">
        <v>80</v>
      </c>
      <c r="D58" s="99" t="s">
        <v>19</v>
      </c>
      <c r="E58" s="100">
        <f t="shared" si="57"/>
        <v>2201.9</v>
      </c>
      <c r="F58" s="101">
        <v>0</v>
      </c>
      <c r="G58" s="101">
        <v>0</v>
      </c>
      <c r="H58" s="101">
        <v>0</v>
      </c>
      <c r="I58" s="101">
        <f t="shared" si="4"/>
        <v>0</v>
      </c>
      <c r="J58" s="100">
        <f>397+66.9+65.8+3.7</f>
        <v>533.4</v>
      </c>
      <c r="K58" s="101">
        <f t="shared" si="5"/>
        <v>11.864406779661017</v>
      </c>
      <c r="L58" s="101">
        <v>14</v>
      </c>
      <c r="M58" s="101">
        <f t="shared" si="6"/>
        <v>7467.5999999999995</v>
      </c>
      <c r="N58" s="102">
        <v>741.1</v>
      </c>
      <c r="O58" s="101">
        <f t="shared" si="7"/>
        <v>4.2372881355932206</v>
      </c>
      <c r="P58" s="101">
        <v>5</v>
      </c>
      <c r="Q58" s="101">
        <f t="shared" si="8"/>
        <v>3705.5</v>
      </c>
      <c r="R58" s="100">
        <v>0</v>
      </c>
      <c r="S58" s="101">
        <f t="shared" si="9"/>
        <v>14.40677966101695</v>
      </c>
      <c r="T58" s="101">
        <v>17</v>
      </c>
      <c r="U58" s="101">
        <f t="shared" si="10"/>
        <v>0</v>
      </c>
      <c r="V58" s="101">
        <v>90</v>
      </c>
      <c r="W58" s="101">
        <v>4.2</v>
      </c>
      <c r="X58" s="101">
        <v>7</v>
      </c>
      <c r="Y58" s="101">
        <f t="shared" si="11"/>
        <v>630</v>
      </c>
      <c r="Z58" s="100">
        <v>803</v>
      </c>
      <c r="AA58" s="101">
        <f t="shared" si="23"/>
        <v>5.5084745762711869</v>
      </c>
      <c r="AB58" s="101">
        <v>6.5</v>
      </c>
      <c r="AC58" s="101">
        <f t="shared" si="13"/>
        <v>5219.5</v>
      </c>
      <c r="AD58" s="101">
        <v>0</v>
      </c>
      <c r="AE58" s="101"/>
      <c r="AF58" s="101"/>
      <c r="AG58" s="101">
        <f t="shared" si="14"/>
        <v>0</v>
      </c>
      <c r="AH58" s="102">
        <v>0</v>
      </c>
      <c r="AI58" s="101">
        <f t="shared" si="15"/>
        <v>7.6271186440677967</v>
      </c>
      <c r="AJ58" s="101">
        <v>9</v>
      </c>
      <c r="AK58" s="101">
        <f t="shared" si="16"/>
        <v>0</v>
      </c>
      <c r="AL58" s="102">
        <v>34.4</v>
      </c>
      <c r="AM58" s="101">
        <f t="shared" si="17"/>
        <v>11.864406779661017</v>
      </c>
      <c r="AN58" s="101">
        <v>14</v>
      </c>
      <c r="AO58" s="101">
        <f t="shared" si="18"/>
        <v>481.59999999999997</v>
      </c>
      <c r="AP58" s="101">
        <f t="shared" si="19"/>
        <v>14834.067796610168</v>
      </c>
      <c r="AQ58" s="101">
        <f t="shared" si="58"/>
        <v>17504.199999999997</v>
      </c>
      <c r="AR58" s="102">
        <v>1760</v>
      </c>
      <c r="AS58" s="101" t="s">
        <v>270</v>
      </c>
      <c r="AT58" s="103">
        <v>0</v>
      </c>
      <c r="AU58" s="103">
        <f t="shared" si="60"/>
        <v>5.0847457627118651</v>
      </c>
      <c r="AV58" s="103">
        <v>6</v>
      </c>
      <c r="AW58" s="103">
        <f t="shared" si="24"/>
        <v>8949.1525423728817</v>
      </c>
      <c r="AX58" s="103">
        <f t="shared" si="21"/>
        <v>10560</v>
      </c>
      <c r="AY58" s="104">
        <f t="shared" si="2"/>
        <v>23783.22033898305</v>
      </c>
      <c r="AZ58" s="105">
        <f t="shared" si="3"/>
        <v>28064.199999999997</v>
      </c>
      <c r="BA58" s="9"/>
      <c r="BB58" s="9"/>
      <c r="BC58" s="9"/>
      <c r="BD58" s="9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0"/>
      <c r="CL58" s="40"/>
      <c r="CM58" s="40"/>
      <c r="CN58" s="40"/>
      <c r="CO58" s="40"/>
    </row>
    <row r="59" spans="1:93" s="4" customFormat="1" ht="183" outlineLevel="1" x14ac:dyDescent="0.25">
      <c r="A59" s="97">
        <v>45</v>
      </c>
      <c r="B59" s="98" t="s">
        <v>212</v>
      </c>
      <c r="C59" s="125" t="s">
        <v>81</v>
      </c>
      <c r="D59" s="99" t="s">
        <v>19</v>
      </c>
      <c r="E59" s="100">
        <f t="shared" si="57"/>
        <v>612.9</v>
      </c>
      <c r="F59" s="101">
        <v>0</v>
      </c>
      <c r="G59" s="101">
        <v>0</v>
      </c>
      <c r="H59" s="101">
        <v>0</v>
      </c>
      <c r="I59" s="101">
        <f t="shared" si="4"/>
        <v>0</v>
      </c>
      <c r="J59" s="100">
        <f>39.2+53.4</f>
        <v>92.6</v>
      </c>
      <c r="K59" s="101">
        <f t="shared" si="5"/>
        <v>11.864406779661017</v>
      </c>
      <c r="L59" s="101">
        <v>14</v>
      </c>
      <c r="M59" s="101">
        <f t="shared" si="6"/>
        <v>1296.3999999999999</v>
      </c>
      <c r="N59" s="102">
        <v>162.5</v>
      </c>
      <c r="O59" s="101">
        <f t="shared" si="7"/>
        <v>4.2372881355932206</v>
      </c>
      <c r="P59" s="101">
        <v>5</v>
      </c>
      <c r="Q59" s="101">
        <f t="shared" si="8"/>
        <v>812.5</v>
      </c>
      <c r="R59" s="100">
        <v>0</v>
      </c>
      <c r="S59" s="101">
        <f t="shared" si="9"/>
        <v>14.40677966101695</v>
      </c>
      <c r="T59" s="101">
        <v>17</v>
      </c>
      <c r="U59" s="101">
        <f t="shared" si="10"/>
        <v>0</v>
      </c>
      <c r="V59" s="101">
        <v>0</v>
      </c>
      <c r="W59" s="101">
        <f t="shared" ref="W59:W60" si="79">X59/1.18</f>
        <v>5.9322033898305087</v>
      </c>
      <c r="X59" s="101">
        <v>7</v>
      </c>
      <c r="Y59" s="101">
        <f t="shared" si="11"/>
        <v>0</v>
      </c>
      <c r="Z59" s="100">
        <f>17.6+14.9+74.2+32.1+61+31.2+49.8</f>
        <v>280.8</v>
      </c>
      <c r="AA59" s="101">
        <f t="shared" si="23"/>
        <v>5.5084745762711869</v>
      </c>
      <c r="AB59" s="101">
        <v>6.5</v>
      </c>
      <c r="AC59" s="101">
        <f t="shared" si="13"/>
        <v>1825.2</v>
      </c>
      <c r="AD59" s="101">
        <v>0</v>
      </c>
      <c r="AE59" s="101"/>
      <c r="AF59" s="101"/>
      <c r="AG59" s="101">
        <f t="shared" si="14"/>
        <v>0</v>
      </c>
      <c r="AH59" s="102">
        <f>13.7+26.5+15.3</f>
        <v>55.5</v>
      </c>
      <c r="AI59" s="101">
        <f t="shared" si="15"/>
        <v>7.6271186440677967</v>
      </c>
      <c r="AJ59" s="101">
        <v>9</v>
      </c>
      <c r="AK59" s="101">
        <f t="shared" si="16"/>
        <v>499.5</v>
      </c>
      <c r="AL59" s="102">
        <f>2.4+8+11.1</f>
        <v>21.5</v>
      </c>
      <c r="AM59" s="101">
        <f t="shared" si="17"/>
        <v>11.864406779661017</v>
      </c>
      <c r="AN59" s="101">
        <v>14</v>
      </c>
      <c r="AO59" s="101">
        <f t="shared" si="18"/>
        <v>301</v>
      </c>
      <c r="AP59" s="101">
        <f t="shared" si="19"/>
        <v>4012.3728813559319</v>
      </c>
      <c r="AQ59" s="101">
        <f t="shared" si="58"/>
        <v>4734.5999999999995</v>
      </c>
      <c r="AR59" s="102">
        <f>892+187</f>
        <v>1079</v>
      </c>
      <c r="AS59" s="101" t="s">
        <v>270</v>
      </c>
      <c r="AT59" s="103">
        <v>0</v>
      </c>
      <c r="AU59" s="103">
        <f t="shared" si="60"/>
        <v>5.0847457627118651</v>
      </c>
      <c r="AV59" s="103">
        <v>6</v>
      </c>
      <c r="AW59" s="103">
        <f t="shared" si="24"/>
        <v>5486.4406779661022</v>
      </c>
      <c r="AX59" s="103">
        <f t="shared" si="21"/>
        <v>6474</v>
      </c>
      <c r="AY59" s="104">
        <f t="shared" si="2"/>
        <v>9498.8135593220341</v>
      </c>
      <c r="AZ59" s="105">
        <f t="shared" si="3"/>
        <v>11208.599999999999</v>
      </c>
      <c r="BA59" s="9"/>
      <c r="BB59" s="9"/>
      <c r="BC59" s="9"/>
      <c r="BD59" s="9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0"/>
      <c r="CL59" s="40"/>
      <c r="CM59" s="40"/>
      <c r="CN59" s="40"/>
      <c r="CO59" s="40"/>
    </row>
    <row r="60" spans="1:93" s="4" customFormat="1" ht="183" outlineLevel="1" x14ac:dyDescent="0.25">
      <c r="A60" s="97">
        <f t="shared" ref="A60" si="80">A59+1</f>
        <v>46</v>
      </c>
      <c r="B60" s="98" t="s">
        <v>21</v>
      </c>
      <c r="C60" s="125" t="s">
        <v>60</v>
      </c>
      <c r="D60" s="99" t="s">
        <v>19</v>
      </c>
      <c r="E60" s="100">
        <f t="shared" si="57"/>
        <v>208.5</v>
      </c>
      <c r="F60" s="101">
        <v>0</v>
      </c>
      <c r="G60" s="101">
        <v>0</v>
      </c>
      <c r="H60" s="101">
        <v>0</v>
      </c>
      <c r="I60" s="101">
        <f t="shared" si="4"/>
        <v>0</v>
      </c>
      <c r="J60" s="100">
        <f>11.1</f>
        <v>11.1</v>
      </c>
      <c r="K60" s="101">
        <f t="shared" si="5"/>
        <v>11.864406779661017</v>
      </c>
      <c r="L60" s="101">
        <v>14</v>
      </c>
      <c r="M60" s="101">
        <f t="shared" si="6"/>
        <v>155.4</v>
      </c>
      <c r="N60" s="102">
        <f>118.5+41.3</f>
        <v>159.80000000000001</v>
      </c>
      <c r="O60" s="101">
        <f t="shared" si="7"/>
        <v>4.2372881355932206</v>
      </c>
      <c r="P60" s="101">
        <v>5</v>
      </c>
      <c r="Q60" s="101">
        <f t="shared" si="8"/>
        <v>799</v>
      </c>
      <c r="R60" s="100">
        <v>0</v>
      </c>
      <c r="S60" s="101">
        <f t="shared" si="9"/>
        <v>14.40677966101695</v>
      </c>
      <c r="T60" s="101">
        <v>17</v>
      </c>
      <c r="U60" s="101">
        <f t="shared" si="10"/>
        <v>0</v>
      </c>
      <c r="V60" s="101">
        <v>0</v>
      </c>
      <c r="W60" s="101">
        <f t="shared" si="79"/>
        <v>5.9322033898305087</v>
      </c>
      <c r="X60" s="101">
        <v>7</v>
      </c>
      <c r="Y60" s="101">
        <f t="shared" si="11"/>
        <v>0</v>
      </c>
      <c r="Z60" s="100">
        <f>32.4</f>
        <v>32.4</v>
      </c>
      <c r="AA60" s="101">
        <f t="shared" si="23"/>
        <v>5.5084745762711869</v>
      </c>
      <c r="AB60" s="101">
        <v>6.5</v>
      </c>
      <c r="AC60" s="101">
        <f t="shared" si="13"/>
        <v>210.6</v>
      </c>
      <c r="AD60" s="101">
        <v>0</v>
      </c>
      <c r="AE60" s="101"/>
      <c r="AF60" s="101"/>
      <c r="AG60" s="101">
        <f t="shared" si="14"/>
        <v>0</v>
      </c>
      <c r="AH60" s="102">
        <v>0</v>
      </c>
      <c r="AI60" s="101">
        <f t="shared" si="15"/>
        <v>7.6271186440677967</v>
      </c>
      <c r="AJ60" s="101">
        <v>9</v>
      </c>
      <c r="AK60" s="101">
        <f t="shared" si="16"/>
        <v>0</v>
      </c>
      <c r="AL60" s="102">
        <v>5.2</v>
      </c>
      <c r="AM60" s="101">
        <f t="shared" si="17"/>
        <v>11.864406779661017</v>
      </c>
      <c r="AN60" s="101">
        <v>14</v>
      </c>
      <c r="AO60" s="101">
        <f t="shared" si="18"/>
        <v>72.8</v>
      </c>
      <c r="AP60" s="101">
        <f t="shared" si="19"/>
        <v>1048.9830508474577</v>
      </c>
      <c r="AQ60" s="101">
        <f t="shared" si="58"/>
        <v>1237.8</v>
      </c>
      <c r="AR60" s="102">
        <v>642</v>
      </c>
      <c r="AS60" s="101" t="s">
        <v>270</v>
      </c>
      <c r="AT60" s="103">
        <v>0</v>
      </c>
      <c r="AU60" s="103">
        <f t="shared" si="60"/>
        <v>5.0847457627118651</v>
      </c>
      <c r="AV60" s="103">
        <v>6</v>
      </c>
      <c r="AW60" s="103">
        <f t="shared" si="24"/>
        <v>3264.4067796610175</v>
      </c>
      <c r="AX60" s="103">
        <f t="shared" si="21"/>
        <v>3852</v>
      </c>
      <c r="AY60" s="104">
        <f t="shared" si="2"/>
        <v>4313.3898305084749</v>
      </c>
      <c r="AZ60" s="105">
        <f t="shared" si="3"/>
        <v>5089.8</v>
      </c>
      <c r="BA60" s="9"/>
      <c r="BB60" s="9"/>
      <c r="BC60" s="9"/>
      <c r="BD60" s="9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0"/>
      <c r="CL60" s="40"/>
      <c r="CM60" s="40"/>
      <c r="CN60" s="40"/>
      <c r="CO60" s="40"/>
    </row>
    <row r="61" spans="1:93" s="4" customFormat="1" ht="228.75" outlineLevel="1" x14ac:dyDescent="0.25">
      <c r="A61" s="97">
        <v>47</v>
      </c>
      <c r="B61" s="98" t="s">
        <v>212</v>
      </c>
      <c r="C61" s="125" t="s">
        <v>191</v>
      </c>
      <c r="D61" s="99" t="s">
        <v>19</v>
      </c>
      <c r="E61" s="100">
        <f t="shared" si="57"/>
        <v>317.2</v>
      </c>
      <c r="F61" s="101">
        <v>0</v>
      </c>
      <c r="G61" s="101">
        <v>0</v>
      </c>
      <c r="H61" s="101">
        <v>0</v>
      </c>
      <c r="I61" s="101">
        <f t="shared" si="4"/>
        <v>0</v>
      </c>
      <c r="J61" s="100">
        <v>203.2</v>
      </c>
      <c r="K61" s="101">
        <f t="shared" si="5"/>
        <v>11.864406779661017</v>
      </c>
      <c r="L61" s="101">
        <v>14</v>
      </c>
      <c r="M61" s="101">
        <f t="shared" si="6"/>
        <v>2844.7999999999997</v>
      </c>
      <c r="N61" s="102">
        <v>44.5</v>
      </c>
      <c r="O61" s="101">
        <f t="shared" si="7"/>
        <v>4.2372881355932206</v>
      </c>
      <c r="P61" s="101">
        <v>5</v>
      </c>
      <c r="Q61" s="101">
        <f t="shared" si="8"/>
        <v>222.5</v>
      </c>
      <c r="R61" s="100">
        <v>0</v>
      </c>
      <c r="S61" s="101">
        <f t="shared" si="9"/>
        <v>14.40677966101695</v>
      </c>
      <c r="T61" s="101">
        <v>17</v>
      </c>
      <c r="U61" s="101">
        <f t="shared" si="10"/>
        <v>0</v>
      </c>
      <c r="V61" s="101">
        <v>0</v>
      </c>
      <c r="W61" s="101">
        <v>4.2</v>
      </c>
      <c r="X61" s="101">
        <v>7</v>
      </c>
      <c r="Y61" s="101">
        <f t="shared" si="11"/>
        <v>0</v>
      </c>
      <c r="Z61" s="100">
        <f>58.6+3</f>
        <v>61.6</v>
      </c>
      <c r="AA61" s="101">
        <f t="shared" si="23"/>
        <v>5.5084745762711869</v>
      </c>
      <c r="AB61" s="101">
        <v>6.5</v>
      </c>
      <c r="AC61" s="101">
        <f t="shared" si="13"/>
        <v>400.40000000000003</v>
      </c>
      <c r="AD61" s="101">
        <v>0</v>
      </c>
      <c r="AE61" s="101"/>
      <c r="AF61" s="101"/>
      <c r="AG61" s="101">
        <f t="shared" si="14"/>
        <v>0</v>
      </c>
      <c r="AH61" s="102">
        <v>0</v>
      </c>
      <c r="AI61" s="101">
        <f t="shared" si="15"/>
        <v>7.6271186440677967</v>
      </c>
      <c r="AJ61" s="101">
        <v>9</v>
      </c>
      <c r="AK61" s="101">
        <f t="shared" si="16"/>
        <v>0</v>
      </c>
      <c r="AL61" s="102">
        <v>7.9</v>
      </c>
      <c r="AM61" s="101">
        <f t="shared" si="17"/>
        <v>11.864406779661017</v>
      </c>
      <c r="AN61" s="101">
        <v>14</v>
      </c>
      <c r="AO61" s="101">
        <f t="shared" si="18"/>
        <v>110.60000000000001</v>
      </c>
      <c r="AP61" s="101">
        <f t="shared" si="19"/>
        <v>3032.4576271186438</v>
      </c>
      <c r="AQ61" s="101">
        <f t="shared" si="58"/>
        <v>3578.2999999999997</v>
      </c>
      <c r="AR61" s="102">
        <v>499</v>
      </c>
      <c r="AS61" s="101" t="s">
        <v>270</v>
      </c>
      <c r="AT61" s="103">
        <v>0</v>
      </c>
      <c r="AU61" s="103">
        <f t="shared" si="60"/>
        <v>5.0847457627118651</v>
      </c>
      <c r="AV61" s="103">
        <v>6</v>
      </c>
      <c r="AW61" s="103">
        <f t="shared" si="24"/>
        <v>2537.2881355932209</v>
      </c>
      <c r="AX61" s="103">
        <f t="shared" si="21"/>
        <v>2994</v>
      </c>
      <c r="AY61" s="104">
        <f t="shared" si="2"/>
        <v>5569.7457627118647</v>
      </c>
      <c r="AZ61" s="105">
        <f t="shared" si="3"/>
        <v>6572.2999999999993</v>
      </c>
      <c r="BA61" s="9"/>
      <c r="BB61" s="9"/>
      <c r="BC61" s="9"/>
      <c r="BD61" s="9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0"/>
      <c r="CL61" s="40"/>
      <c r="CM61" s="40"/>
      <c r="CN61" s="40"/>
      <c r="CO61" s="40"/>
    </row>
    <row r="62" spans="1:93" s="4" customFormat="1" ht="183" outlineLevel="1" x14ac:dyDescent="0.25">
      <c r="A62" s="97">
        <f t="shared" ref="A62" si="81">A61+1</f>
        <v>48</v>
      </c>
      <c r="B62" s="98" t="s">
        <v>21</v>
      </c>
      <c r="C62" s="125" t="s">
        <v>61</v>
      </c>
      <c r="D62" s="99" t="s">
        <v>19</v>
      </c>
      <c r="E62" s="100">
        <f t="shared" si="57"/>
        <v>371.5</v>
      </c>
      <c r="F62" s="101">
        <v>0</v>
      </c>
      <c r="G62" s="101">
        <v>0</v>
      </c>
      <c r="H62" s="101">
        <v>0</v>
      </c>
      <c r="I62" s="101">
        <f t="shared" si="4"/>
        <v>0</v>
      </c>
      <c r="J62" s="100">
        <v>0</v>
      </c>
      <c r="K62" s="101">
        <f t="shared" si="5"/>
        <v>11.864406779661017</v>
      </c>
      <c r="L62" s="101">
        <v>14</v>
      </c>
      <c r="M62" s="101">
        <f t="shared" si="6"/>
        <v>0</v>
      </c>
      <c r="N62" s="102">
        <v>242.6</v>
      </c>
      <c r="O62" s="101">
        <f t="shared" si="7"/>
        <v>4.2372881355932206</v>
      </c>
      <c r="P62" s="101">
        <v>5</v>
      </c>
      <c r="Q62" s="101">
        <f t="shared" si="8"/>
        <v>1213</v>
      </c>
      <c r="R62" s="100">
        <v>0</v>
      </c>
      <c r="S62" s="101">
        <f t="shared" si="9"/>
        <v>14.40677966101695</v>
      </c>
      <c r="T62" s="101">
        <v>17</v>
      </c>
      <c r="U62" s="101">
        <f t="shared" si="10"/>
        <v>0</v>
      </c>
      <c r="V62" s="101">
        <v>0</v>
      </c>
      <c r="W62" s="101">
        <f t="shared" ref="W62" si="82">X62/1.18</f>
        <v>5.9322033898305087</v>
      </c>
      <c r="X62" s="101">
        <v>7</v>
      </c>
      <c r="Y62" s="101">
        <f t="shared" si="11"/>
        <v>0</v>
      </c>
      <c r="Z62" s="100">
        <v>19.8</v>
      </c>
      <c r="AA62" s="101">
        <f t="shared" si="23"/>
        <v>5.5084745762711869</v>
      </c>
      <c r="AB62" s="101">
        <v>6.5</v>
      </c>
      <c r="AC62" s="101">
        <f t="shared" si="13"/>
        <v>128.70000000000002</v>
      </c>
      <c r="AD62" s="101">
        <v>0</v>
      </c>
      <c r="AE62" s="101"/>
      <c r="AF62" s="101"/>
      <c r="AG62" s="101">
        <f t="shared" si="14"/>
        <v>0</v>
      </c>
      <c r="AH62" s="102">
        <v>103.1</v>
      </c>
      <c r="AI62" s="101">
        <f t="shared" si="15"/>
        <v>7.6271186440677967</v>
      </c>
      <c r="AJ62" s="101">
        <v>9</v>
      </c>
      <c r="AK62" s="101">
        <f t="shared" si="16"/>
        <v>927.9</v>
      </c>
      <c r="AL62" s="102">
        <v>6</v>
      </c>
      <c r="AM62" s="101">
        <f t="shared" si="17"/>
        <v>11.864406779661017</v>
      </c>
      <c r="AN62" s="101">
        <v>14</v>
      </c>
      <c r="AO62" s="101">
        <f t="shared" si="18"/>
        <v>84</v>
      </c>
      <c r="AP62" s="101">
        <f t="shared" si="19"/>
        <v>1994.5762711864406</v>
      </c>
      <c r="AQ62" s="101">
        <f t="shared" si="58"/>
        <v>2353.6</v>
      </c>
      <c r="AR62" s="102">
        <v>0</v>
      </c>
      <c r="AS62" s="101" t="s">
        <v>270</v>
      </c>
      <c r="AT62" s="103">
        <v>0</v>
      </c>
      <c r="AU62" s="103">
        <f t="shared" si="60"/>
        <v>5.0847457627118651</v>
      </c>
      <c r="AV62" s="103">
        <v>6</v>
      </c>
      <c r="AW62" s="103">
        <f t="shared" si="24"/>
        <v>0</v>
      </c>
      <c r="AX62" s="103">
        <f t="shared" si="21"/>
        <v>0</v>
      </c>
      <c r="AY62" s="104">
        <f t="shared" si="2"/>
        <v>1994.5762711864406</v>
      </c>
      <c r="AZ62" s="105">
        <f t="shared" si="3"/>
        <v>2353.6</v>
      </c>
      <c r="BA62" s="9"/>
      <c r="BB62" s="9"/>
      <c r="BC62" s="9"/>
      <c r="BD62" s="9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0"/>
      <c r="CL62" s="40"/>
      <c r="CM62" s="40"/>
      <c r="CN62" s="40"/>
      <c r="CO62" s="40"/>
    </row>
    <row r="63" spans="1:93" s="29" customFormat="1" ht="45.75" outlineLevel="1" x14ac:dyDescent="0.3">
      <c r="A63" s="145" t="s">
        <v>84</v>
      </c>
      <c r="B63" s="146"/>
      <c r="C63" s="146"/>
      <c r="D63" s="120"/>
      <c r="E63" s="100"/>
      <c r="F63" s="120"/>
      <c r="G63" s="101">
        <v>0</v>
      </c>
      <c r="H63" s="101">
        <v>0</v>
      </c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07"/>
      <c r="AQ63" s="107"/>
      <c r="AR63" s="120"/>
      <c r="AS63" s="101"/>
      <c r="AT63" s="120"/>
      <c r="AU63" s="120"/>
      <c r="AV63" s="120"/>
      <c r="AW63" s="120"/>
      <c r="AX63" s="120"/>
      <c r="AY63" s="107"/>
      <c r="AZ63" s="108"/>
      <c r="BA63" s="28"/>
      <c r="BB63" s="28"/>
      <c r="BC63" s="28"/>
      <c r="BD63" s="28"/>
      <c r="BE63" s="28"/>
      <c r="BF63" s="28"/>
    </row>
    <row r="64" spans="1:93" s="27" customFormat="1" ht="45.75" outlineLevel="1" x14ac:dyDescent="0.3">
      <c r="A64" s="145" t="s">
        <v>64</v>
      </c>
      <c r="B64" s="146"/>
      <c r="C64" s="146"/>
      <c r="D64" s="120"/>
      <c r="E64" s="100"/>
      <c r="F64" s="120"/>
      <c r="G64" s="101">
        <v>0</v>
      </c>
      <c r="H64" s="101">
        <v>0</v>
      </c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07"/>
      <c r="AQ64" s="107"/>
      <c r="AR64" s="120"/>
      <c r="AS64" s="101"/>
      <c r="AT64" s="120"/>
      <c r="AU64" s="120"/>
      <c r="AV64" s="120"/>
      <c r="AW64" s="120"/>
      <c r="AX64" s="120"/>
      <c r="AY64" s="107"/>
      <c r="AZ64" s="119"/>
      <c r="BA64" s="26"/>
      <c r="BB64" s="26"/>
      <c r="BC64" s="26"/>
      <c r="BD64" s="26"/>
      <c r="BE64" s="26"/>
      <c r="BF64" s="26"/>
    </row>
    <row r="65" spans="1:93" s="4" customFormat="1" ht="183" outlineLevel="1" x14ac:dyDescent="0.25">
      <c r="A65" s="97">
        <f>A62+1</f>
        <v>49</v>
      </c>
      <c r="B65" s="98" t="s">
        <v>212</v>
      </c>
      <c r="C65" s="125" t="s">
        <v>85</v>
      </c>
      <c r="D65" s="99" t="s">
        <v>19</v>
      </c>
      <c r="E65" s="100">
        <f t="shared" ref="E65:E72" si="83">F65+J65+N65+R65+V65+Z65+AD65+AH65+AL65</f>
        <v>2013.3</v>
      </c>
      <c r="F65" s="101">
        <v>0</v>
      </c>
      <c r="G65" s="101">
        <v>0</v>
      </c>
      <c r="H65" s="101">
        <v>0</v>
      </c>
      <c r="I65" s="101">
        <f t="shared" si="4"/>
        <v>0</v>
      </c>
      <c r="J65" s="100">
        <v>643.70000000000005</v>
      </c>
      <c r="K65" s="101">
        <f t="shared" si="5"/>
        <v>11.864406779661017</v>
      </c>
      <c r="L65" s="101">
        <v>14</v>
      </c>
      <c r="M65" s="101">
        <f t="shared" si="6"/>
        <v>9011.8000000000011</v>
      </c>
      <c r="N65" s="102">
        <v>331.8</v>
      </c>
      <c r="O65" s="101">
        <f t="shared" si="7"/>
        <v>4.2372881355932206</v>
      </c>
      <c r="P65" s="101">
        <v>5</v>
      </c>
      <c r="Q65" s="101">
        <f t="shared" si="8"/>
        <v>1659</v>
      </c>
      <c r="R65" s="100">
        <v>22.3</v>
      </c>
      <c r="S65" s="101">
        <f t="shared" si="9"/>
        <v>14.40677966101695</v>
      </c>
      <c r="T65" s="101">
        <v>17</v>
      </c>
      <c r="U65" s="101">
        <f t="shared" si="10"/>
        <v>379.1</v>
      </c>
      <c r="V65" s="101">
        <v>71.599999999999994</v>
      </c>
      <c r="W65" s="101">
        <f t="shared" ref="W65:W66" si="84">X65/1.18</f>
        <v>5.9322033898305087</v>
      </c>
      <c r="X65" s="101">
        <v>7</v>
      </c>
      <c r="Y65" s="101">
        <f t="shared" si="11"/>
        <v>501.19999999999993</v>
      </c>
      <c r="Z65" s="100">
        <v>420.7</v>
      </c>
      <c r="AA65" s="101">
        <f t="shared" si="23"/>
        <v>5.5084745762711869</v>
      </c>
      <c r="AB65" s="101">
        <v>6.5</v>
      </c>
      <c r="AC65" s="101">
        <f t="shared" si="13"/>
        <v>2734.5499999999997</v>
      </c>
      <c r="AD65" s="101">
        <v>0</v>
      </c>
      <c r="AE65" s="101"/>
      <c r="AF65" s="101"/>
      <c r="AG65" s="101">
        <f t="shared" si="14"/>
        <v>0</v>
      </c>
      <c r="AH65" s="102">
        <v>484.7</v>
      </c>
      <c r="AI65" s="101">
        <f t="shared" si="15"/>
        <v>7.6271186440677967</v>
      </c>
      <c r="AJ65" s="101">
        <v>9</v>
      </c>
      <c r="AK65" s="101">
        <f t="shared" si="16"/>
        <v>4362.3</v>
      </c>
      <c r="AL65" s="102">
        <v>38.5</v>
      </c>
      <c r="AM65" s="101">
        <f t="shared" si="17"/>
        <v>11.864406779661017</v>
      </c>
      <c r="AN65" s="101">
        <v>14</v>
      </c>
      <c r="AO65" s="101">
        <f t="shared" si="18"/>
        <v>539</v>
      </c>
      <c r="AP65" s="101">
        <f t="shared" si="19"/>
        <v>16260.12711864407</v>
      </c>
      <c r="AQ65" s="101">
        <f t="shared" ref="AQ65:AQ72" si="85">I65+M65+Q65+U65+Y65+AC65+AG65+AK65+AO65</f>
        <v>19186.95</v>
      </c>
      <c r="AR65" s="102">
        <f>1798.36+1203.44+93.9</f>
        <v>3095.7000000000003</v>
      </c>
      <c r="AS65" s="101" t="s">
        <v>270</v>
      </c>
      <c r="AT65" s="103">
        <v>0</v>
      </c>
      <c r="AU65" s="103">
        <f t="shared" si="53"/>
        <v>5.0847457627118651</v>
      </c>
      <c r="AV65" s="103">
        <v>6</v>
      </c>
      <c r="AW65" s="103">
        <f t="shared" si="24"/>
        <v>15740.847457627122</v>
      </c>
      <c r="AX65" s="103">
        <f t="shared" si="21"/>
        <v>18574.2</v>
      </c>
      <c r="AY65" s="104">
        <f t="shared" si="2"/>
        <v>32000.97457627119</v>
      </c>
      <c r="AZ65" s="105">
        <f t="shared" si="3"/>
        <v>37761.15</v>
      </c>
      <c r="BA65" s="9"/>
      <c r="BB65" s="9"/>
      <c r="BC65" s="9"/>
      <c r="BD65" s="9"/>
      <c r="BE65" s="43"/>
      <c r="BF65" s="43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</row>
    <row r="66" spans="1:93" s="4" customFormat="1" ht="228.75" outlineLevel="1" x14ac:dyDescent="0.25">
      <c r="A66" s="97">
        <f>A65+1</f>
        <v>50</v>
      </c>
      <c r="B66" s="128" t="s">
        <v>16</v>
      </c>
      <c r="C66" s="125" t="s">
        <v>210</v>
      </c>
      <c r="D66" s="99" t="s">
        <v>19</v>
      </c>
      <c r="E66" s="100">
        <f t="shared" si="83"/>
        <v>188.7</v>
      </c>
      <c r="F66" s="101">
        <v>0</v>
      </c>
      <c r="G66" s="101">
        <v>0</v>
      </c>
      <c r="H66" s="101">
        <v>0</v>
      </c>
      <c r="I66" s="101">
        <f t="shared" si="4"/>
        <v>0</v>
      </c>
      <c r="J66" s="100">
        <f>31.4</f>
        <v>31.4</v>
      </c>
      <c r="K66" s="101">
        <f t="shared" si="5"/>
        <v>11.864406779661017</v>
      </c>
      <c r="L66" s="101">
        <v>14</v>
      </c>
      <c r="M66" s="101">
        <f t="shared" si="6"/>
        <v>439.59999999999997</v>
      </c>
      <c r="N66" s="102">
        <f>34.3+65-18.1</f>
        <v>81.199999999999989</v>
      </c>
      <c r="O66" s="101">
        <f t="shared" si="7"/>
        <v>4.2372881355932206</v>
      </c>
      <c r="P66" s="101">
        <v>5</v>
      </c>
      <c r="Q66" s="101">
        <f t="shared" si="8"/>
        <v>405.99999999999994</v>
      </c>
      <c r="R66" s="100">
        <v>0</v>
      </c>
      <c r="S66" s="101">
        <f t="shared" si="9"/>
        <v>14.40677966101695</v>
      </c>
      <c r="T66" s="101">
        <v>17</v>
      </c>
      <c r="U66" s="101">
        <f t="shared" si="10"/>
        <v>0</v>
      </c>
      <c r="V66" s="101">
        <v>0</v>
      </c>
      <c r="W66" s="101">
        <f t="shared" si="84"/>
        <v>5.9322033898305087</v>
      </c>
      <c r="X66" s="101">
        <v>7</v>
      </c>
      <c r="Y66" s="101">
        <f t="shared" si="11"/>
        <v>0</v>
      </c>
      <c r="Z66" s="100">
        <f>59+13.3</f>
        <v>72.3</v>
      </c>
      <c r="AA66" s="101">
        <f t="shared" si="23"/>
        <v>5.5084745762711869</v>
      </c>
      <c r="AB66" s="101">
        <v>6.5</v>
      </c>
      <c r="AC66" s="101">
        <f t="shared" si="13"/>
        <v>469.95</v>
      </c>
      <c r="AD66" s="101">
        <v>0</v>
      </c>
      <c r="AE66" s="101"/>
      <c r="AF66" s="101"/>
      <c r="AG66" s="101">
        <f t="shared" si="14"/>
        <v>0</v>
      </c>
      <c r="AH66" s="102">
        <v>0</v>
      </c>
      <c r="AI66" s="101">
        <f t="shared" si="15"/>
        <v>7.6271186440677967</v>
      </c>
      <c r="AJ66" s="101">
        <v>9</v>
      </c>
      <c r="AK66" s="101">
        <f t="shared" si="16"/>
        <v>0</v>
      </c>
      <c r="AL66" s="102">
        <v>3.8</v>
      </c>
      <c r="AM66" s="101">
        <f t="shared" si="17"/>
        <v>11.864406779661017</v>
      </c>
      <c r="AN66" s="101">
        <v>14</v>
      </c>
      <c r="AO66" s="101">
        <f t="shared" si="18"/>
        <v>53.199999999999996</v>
      </c>
      <c r="AP66" s="101">
        <f t="shared" si="19"/>
        <v>1159.957627118644</v>
      </c>
      <c r="AQ66" s="101">
        <f t="shared" si="85"/>
        <v>1368.75</v>
      </c>
      <c r="AR66" s="102">
        <v>71.099999999999994</v>
      </c>
      <c r="AS66" s="101" t="s">
        <v>270</v>
      </c>
      <c r="AT66" s="103">
        <v>0</v>
      </c>
      <c r="AU66" s="103">
        <f t="shared" si="53"/>
        <v>5.0847457627118651</v>
      </c>
      <c r="AV66" s="103">
        <v>6</v>
      </c>
      <c r="AW66" s="103">
        <f t="shared" si="24"/>
        <v>361.52542372881356</v>
      </c>
      <c r="AX66" s="103">
        <f t="shared" si="21"/>
        <v>426.59999999999997</v>
      </c>
      <c r="AY66" s="104">
        <f t="shared" si="2"/>
        <v>1521.4830508474577</v>
      </c>
      <c r="AZ66" s="105">
        <f t="shared" si="3"/>
        <v>1795.35</v>
      </c>
      <c r="BA66" s="9"/>
      <c r="BB66" s="9"/>
      <c r="BC66" s="9"/>
      <c r="BD66" s="9"/>
      <c r="BE66" s="43"/>
      <c r="BF66" s="43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</row>
    <row r="67" spans="1:93" s="4" customFormat="1" ht="274.5" outlineLevel="1" x14ac:dyDescent="0.25">
      <c r="A67" s="97">
        <f t="shared" ref="A67:A72" si="86">A66+1</f>
        <v>51</v>
      </c>
      <c r="B67" s="128" t="s">
        <v>21</v>
      </c>
      <c r="C67" s="125" t="s">
        <v>86</v>
      </c>
      <c r="D67" s="99" t="s">
        <v>19</v>
      </c>
      <c r="E67" s="100">
        <f t="shared" si="83"/>
        <v>166.5</v>
      </c>
      <c r="F67" s="101">
        <v>0</v>
      </c>
      <c r="G67" s="101">
        <v>0</v>
      </c>
      <c r="H67" s="101">
        <v>0</v>
      </c>
      <c r="I67" s="101">
        <f t="shared" si="4"/>
        <v>0</v>
      </c>
      <c r="J67" s="100">
        <v>0</v>
      </c>
      <c r="K67" s="101">
        <f t="shared" ref="K67:K127" si="87">L67/1.18</f>
        <v>11.864406779661017</v>
      </c>
      <c r="L67" s="101">
        <v>14</v>
      </c>
      <c r="M67" s="101">
        <f t="shared" si="6"/>
        <v>0</v>
      </c>
      <c r="N67" s="102">
        <v>166.5</v>
      </c>
      <c r="O67" s="101">
        <f t="shared" si="7"/>
        <v>4.2372881355932206</v>
      </c>
      <c r="P67" s="101">
        <v>5</v>
      </c>
      <c r="Q67" s="101">
        <f t="shared" si="8"/>
        <v>832.5</v>
      </c>
      <c r="R67" s="100">
        <v>0</v>
      </c>
      <c r="S67" s="101">
        <f t="shared" si="9"/>
        <v>14.40677966101695</v>
      </c>
      <c r="T67" s="101">
        <v>17</v>
      </c>
      <c r="U67" s="101">
        <f t="shared" si="10"/>
        <v>0</v>
      </c>
      <c r="V67" s="101">
        <v>0</v>
      </c>
      <c r="W67" s="101">
        <v>4.2</v>
      </c>
      <c r="X67" s="101">
        <v>7</v>
      </c>
      <c r="Y67" s="101">
        <f t="shared" si="11"/>
        <v>0</v>
      </c>
      <c r="Z67" s="100">
        <v>0</v>
      </c>
      <c r="AA67" s="101">
        <f t="shared" si="23"/>
        <v>5.5084745762711869</v>
      </c>
      <c r="AB67" s="101">
        <v>6.5</v>
      </c>
      <c r="AC67" s="101">
        <f t="shared" si="13"/>
        <v>0</v>
      </c>
      <c r="AD67" s="101">
        <v>0</v>
      </c>
      <c r="AE67" s="101"/>
      <c r="AF67" s="101"/>
      <c r="AG67" s="101">
        <f t="shared" si="14"/>
        <v>0</v>
      </c>
      <c r="AH67" s="102">
        <v>0</v>
      </c>
      <c r="AI67" s="101">
        <f t="shared" si="15"/>
        <v>7.6271186440677967</v>
      </c>
      <c r="AJ67" s="101">
        <v>9</v>
      </c>
      <c r="AK67" s="101">
        <f t="shared" si="16"/>
        <v>0</v>
      </c>
      <c r="AL67" s="102">
        <v>0</v>
      </c>
      <c r="AM67" s="101">
        <f t="shared" si="17"/>
        <v>11.864406779661017</v>
      </c>
      <c r="AN67" s="101">
        <v>14</v>
      </c>
      <c r="AO67" s="101">
        <f t="shared" si="18"/>
        <v>0</v>
      </c>
      <c r="AP67" s="101">
        <f t="shared" si="19"/>
        <v>705.50847457627117</v>
      </c>
      <c r="AQ67" s="101">
        <f t="shared" si="85"/>
        <v>832.5</v>
      </c>
      <c r="AR67" s="102">
        <v>0</v>
      </c>
      <c r="AS67" s="101" t="s">
        <v>270</v>
      </c>
      <c r="AT67" s="103">
        <v>0</v>
      </c>
      <c r="AU67" s="103">
        <f t="shared" si="53"/>
        <v>5.0847457627118651</v>
      </c>
      <c r="AV67" s="103">
        <v>6</v>
      </c>
      <c r="AW67" s="103">
        <f t="shared" si="24"/>
        <v>0</v>
      </c>
      <c r="AX67" s="103">
        <f t="shared" si="21"/>
        <v>0</v>
      </c>
      <c r="AY67" s="104">
        <f t="shared" si="2"/>
        <v>705.50847457627117</v>
      </c>
      <c r="AZ67" s="105">
        <f t="shared" si="3"/>
        <v>832.5</v>
      </c>
      <c r="BA67" s="9"/>
      <c r="BB67" s="9"/>
      <c r="BC67" s="9"/>
      <c r="BD67" s="9"/>
      <c r="BE67" s="43"/>
      <c r="BF67" s="43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</row>
    <row r="68" spans="1:93" s="4" customFormat="1" ht="274.5" outlineLevel="1" x14ac:dyDescent="0.25">
      <c r="A68" s="97">
        <f t="shared" si="86"/>
        <v>52</v>
      </c>
      <c r="B68" s="98" t="s">
        <v>21</v>
      </c>
      <c r="C68" s="125" t="s">
        <v>87</v>
      </c>
      <c r="D68" s="99" t="s">
        <v>19</v>
      </c>
      <c r="E68" s="100">
        <f t="shared" si="83"/>
        <v>8.5</v>
      </c>
      <c r="F68" s="101">
        <v>0</v>
      </c>
      <c r="G68" s="101">
        <v>0</v>
      </c>
      <c r="H68" s="101">
        <v>0</v>
      </c>
      <c r="I68" s="101">
        <f t="shared" si="4"/>
        <v>0</v>
      </c>
      <c r="J68" s="100">
        <v>0</v>
      </c>
      <c r="K68" s="101">
        <f t="shared" si="87"/>
        <v>11.864406779661017</v>
      </c>
      <c r="L68" s="101">
        <v>14</v>
      </c>
      <c r="M68" s="101">
        <f t="shared" si="6"/>
        <v>0</v>
      </c>
      <c r="N68" s="102">
        <v>8.5</v>
      </c>
      <c r="O68" s="101">
        <f t="shared" si="7"/>
        <v>4.2372881355932206</v>
      </c>
      <c r="P68" s="101">
        <v>5</v>
      </c>
      <c r="Q68" s="101">
        <f t="shared" si="8"/>
        <v>42.5</v>
      </c>
      <c r="R68" s="100">
        <v>0</v>
      </c>
      <c r="S68" s="101">
        <f t="shared" si="9"/>
        <v>14.40677966101695</v>
      </c>
      <c r="T68" s="101">
        <v>17</v>
      </c>
      <c r="U68" s="101">
        <f t="shared" si="10"/>
        <v>0</v>
      </c>
      <c r="V68" s="101">
        <v>0</v>
      </c>
      <c r="W68" s="101">
        <f t="shared" ref="W68:W70" si="88">X68/1.18</f>
        <v>5.9322033898305087</v>
      </c>
      <c r="X68" s="101">
        <v>7</v>
      </c>
      <c r="Y68" s="101">
        <f t="shared" si="11"/>
        <v>0</v>
      </c>
      <c r="Z68" s="100">
        <v>0</v>
      </c>
      <c r="AA68" s="101">
        <f t="shared" si="23"/>
        <v>5.5084745762711869</v>
      </c>
      <c r="AB68" s="101">
        <v>6.5</v>
      </c>
      <c r="AC68" s="101">
        <f t="shared" si="13"/>
        <v>0</v>
      </c>
      <c r="AD68" s="101">
        <v>0</v>
      </c>
      <c r="AE68" s="101"/>
      <c r="AF68" s="101"/>
      <c r="AG68" s="101">
        <f t="shared" si="14"/>
        <v>0</v>
      </c>
      <c r="AH68" s="102">
        <v>0</v>
      </c>
      <c r="AI68" s="101">
        <f t="shared" si="15"/>
        <v>7.6271186440677967</v>
      </c>
      <c r="AJ68" s="101">
        <v>9</v>
      </c>
      <c r="AK68" s="101">
        <f t="shared" si="16"/>
        <v>0</v>
      </c>
      <c r="AL68" s="102">
        <v>0</v>
      </c>
      <c r="AM68" s="101">
        <f t="shared" si="17"/>
        <v>11.864406779661017</v>
      </c>
      <c r="AN68" s="101">
        <v>14</v>
      </c>
      <c r="AO68" s="101">
        <f t="shared" si="18"/>
        <v>0</v>
      </c>
      <c r="AP68" s="101">
        <f t="shared" si="19"/>
        <v>36.016949152542374</v>
      </c>
      <c r="AQ68" s="101">
        <f t="shared" si="85"/>
        <v>42.5</v>
      </c>
      <c r="AR68" s="102">
        <v>0</v>
      </c>
      <c r="AS68" s="101" t="s">
        <v>270</v>
      </c>
      <c r="AT68" s="103">
        <v>0</v>
      </c>
      <c r="AU68" s="103">
        <f t="shared" si="53"/>
        <v>5.0847457627118651</v>
      </c>
      <c r="AV68" s="103">
        <v>6</v>
      </c>
      <c r="AW68" s="103">
        <f t="shared" si="24"/>
        <v>0</v>
      </c>
      <c r="AX68" s="103">
        <f t="shared" si="21"/>
        <v>0</v>
      </c>
      <c r="AY68" s="104">
        <f t="shared" si="2"/>
        <v>36.016949152542374</v>
      </c>
      <c r="AZ68" s="105">
        <f t="shared" si="3"/>
        <v>42.5</v>
      </c>
      <c r="BA68" s="9"/>
      <c r="BB68" s="9"/>
      <c r="BC68" s="9"/>
      <c r="BD68" s="9"/>
      <c r="BE68" s="43"/>
      <c r="BF68" s="43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</row>
    <row r="69" spans="1:93" s="4" customFormat="1" ht="274.5" outlineLevel="1" x14ac:dyDescent="0.25">
      <c r="A69" s="97">
        <f t="shared" si="86"/>
        <v>53</v>
      </c>
      <c r="B69" s="98" t="s">
        <v>21</v>
      </c>
      <c r="C69" s="125" t="s">
        <v>88</v>
      </c>
      <c r="D69" s="99" t="s">
        <v>19</v>
      </c>
      <c r="E69" s="100">
        <f t="shared" si="83"/>
        <v>24</v>
      </c>
      <c r="F69" s="101">
        <v>0</v>
      </c>
      <c r="G69" s="101">
        <v>0</v>
      </c>
      <c r="H69" s="101">
        <v>0</v>
      </c>
      <c r="I69" s="101">
        <f t="shared" ref="I69:I127" si="89">H69*F69</f>
        <v>0</v>
      </c>
      <c r="J69" s="100">
        <v>0</v>
      </c>
      <c r="K69" s="101">
        <f t="shared" si="87"/>
        <v>11.864406779661017</v>
      </c>
      <c r="L69" s="101">
        <v>14</v>
      </c>
      <c r="M69" s="101">
        <f t="shared" ref="M69:M127" si="90">L69*J69</f>
        <v>0</v>
      </c>
      <c r="N69" s="102">
        <v>24</v>
      </c>
      <c r="O69" s="101">
        <f t="shared" ref="O69:O127" si="91">P69/1.18</f>
        <v>4.2372881355932206</v>
      </c>
      <c r="P69" s="101">
        <v>5</v>
      </c>
      <c r="Q69" s="101">
        <f t="shared" ref="Q69:Q127" si="92">P69*N69</f>
        <v>120</v>
      </c>
      <c r="R69" s="100">
        <v>0</v>
      </c>
      <c r="S69" s="101">
        <f t="shared" ref="S69:S127" si="93">T69/1.18</f>
        <v>14.40677966101695</v>
      </c>
      <c r="T69" s="101">
        <v>17</v>
      </c>
      <c r="U69" s="101">
        <f t="shared" ref="U69:U127" si="94">T69*R69</f>
        <v>0</v>
      </c>
      <c r="V69" s="101">
        <v>0</v>
      </c>
      <c r="W69" s="101">
        <f t="shared" si="88"/>
        <v>5.9322033898305087</v>
      </c>
      <c r="X69" s="101">
        <v>7</v>
      </c>
      <c r="Y69" s="101">
        <f t="shared" ref="Y69:Y127" si="95">X69*V69</f>
        <v>0</v>
      </c>
      <c r="Z69" s="100">
        <v>0</v>
      </c>
      <c r="AA69" s="101">
        <f t="shared" ref="AA69:AA127" si="96">AB69/1.18</f>
        <v>5.5084745762711869</v>
      </c>
      <c r="AB69" s="101">
        <v>6.5</v>
      </c>
      <c r="AC69" s="101">
        <f t="shared" ref="AC69:AC127" si="97">AB69*Z69</f>
        <v>0</v>
      </c>
      <c r="AD69" s="101">
        <v>0</v>
      </c>
      <c r="AE69" s="101"/>
      <c r="AF69" s="101"/>
      <c r="AG69" s="101">
        <f t="shared" ref="AG69:AG127" si="98">AF69*AD69</f>
        <v>0</v>
      </c>
      <c r="AH69" s="102">
        <v>0</v>
      </c>
      <c r="AI69" s="101">
        <f t="shared" ref="AI69:AI127" si="99">AJ69/1.18</f>
        <v>7.6271186440677967</v>
      </c>
      <c r="AJ69" s="101">
        <v>9</v>
      </c>
      <c r="AK69" s="101">
        <f t="shared" ref="AK69:AK127" si="100">AJ69*AH69</f>
        <v>0</v>
      </c>
      <c r="AL69" s="102">
        <v>0</v>
      </c>
      <c r="AM69" s="101">
        <f t="shared" ref="AM69:AM127" si="101">AN69/1.18</f>
        <v>11.864406779661017</v>
      </c>
      <c r="AN69" s="101">
        <v>14</v>
      </c>
      <c r="AO69" s="101">
        <f t="shared" ref="AO69:AO127" si="102">AN69*AL69</f>
        <v>0</v>
      </c>
      <c r="AP69" s="101">
        <f t="shared" si="19"/>
        <v>101.69491525423729</v>
      </c>
      <c r="AQ69" s="101">
        <f t="shared" si="85"/>
        <v>120</v>
      </c>
      <c r="AR69" s="102">
        <v>0</v>
      </c>
      <c r="AS69" s="101" t="s">
        <v>270</v>
      </c>
      <c r="AT69" s="103">
        <v>0</v>
      </c>
      <c r="AU69" s="103">
        <f t="shared" si="53"/>
        <v>5.0847457627118651</v>
      </c>
      <c r="AV69" s="103">
        <v>6</v>
      </c>
      <c r="AW69" s="103">
        <f t="shared" si="24"/>
        <v>0</v>
      </c>
      <c r="AX69" s="103">
        <f t="shared" ref="AX69:AX127" si="103">AV69*AR69</f>
        <v>0</v>
      </c>
      <c r="AY69" s="104">
        <f t="shared" si="2"/>
        <v>101.69491525423729</v>
      </c>
      <c r="AZ69" s="105">
        <f t="shared" si="3"/>
        <v>120</v>
      </c>
      <c r="BA69" s="9"/>
      <c r="BB69" s="9"/>
      <c r="BC69" s="9"/>
      <c r="BD69" s="9"/>
      <c r="BE69" s="43"/>
      <c r="BF69" s="43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</row>
    <row r="70" spans="1:93" s="4" customFormat="1" ht="274.5" outlineLevel="1" x14ac:dyDescent="0.25">
      <c r="A70" s="97">
        <f t="shared" si="86"/>
        <v>54</v>
      </c>
      <c r="B70" s="98" t="s">
        <v>21</v>
      </c>
      <c r="C70" s="125" t="s">
        <v>89</v>
      </c>
      <c r="D70" s="99" t="s">
        <v>19</v>
      </c>
      <c r="E70" s="100">
        <f t="shared" si="83"/>
        <v>59.5</v>
      </c>
      <c r="F70" s="101">
        <v>0</v>
      </c>
      <c r="G70" s="101">
        <v>0</v>
      </c>
      <c r="H70" s="101">
        <v>0</v>
      </c>
      <c r="I70" s="101">
        <f t="shared" si="89"/>
        <v>0</v>
      </c>
      <c r="J70" s="100">
        <v>0</v>
      </c>
      <c r="K70" s="101">
        <f t="shared" si="87"/>
        <v>11.864406779661017</v>
      </c>
      <c r="L70" s="101">
        <v>14</v>
      </c>
      <c r="M70" s="101">
        <f t="shared" si="90"/>
        <v>0</v>
      </c>
      <c r="N70" s="102">
        <v>59.5</v>
      </c>
      <c r="O70" s="101">
        <f t="shared" si="91"/>
        <v>4.2372881355932206</v>
      </c>
      <c r="P70" s="101">
        <v>5</v>
      </c>
      <c r="Q70" s="101">
        <f t="shared" si="92"/>
        <v>297.5</v>
      </c>
      <c r="R70" s="100">
        <v>0</v>
      </c>
      <c r="S70" s="101">
        <f t="shared" si="93"/>
        <v>14.40677966101695</v>
      </c>
      <c r="T70" s="101">
        <v>17</v>
      </c>
      <c r="U70" s="101">
        <f t="shared" si="94"/>
        <v>0</v>
      </c>
      <c r="V70" s="101">
        <v>0</v>
      </c>
      <c r="W70" s="101">
        <f t="shared" si="88"/>
        <v>5.9322033898305087</v>
      </c>
      <c r="X70" s="101">
        <v>7</v>
      </c>
      <c r="Y70" s="101">
        <f t="shared" si="95"/>
        <v>0</v>
      </c>
      <c r="Z70" s="100">
        <v>0</v>
      </c>
      <c r="AA70" s="101">
        <f t="shared" si="96"/>
        <v>5.5084745762711869</v>
      </c>
      <c r="AB70" s="101">
        <v>6.5</v>
      </c>
      <c r="AC70" s="101">
        <f t="shared" si="97"/>
        <v>0</v>
      </c>
      <c r="AD70" s="101">
        <v>0</v>
      </c>
      <c r="AE70" s="101"/>
      <c r="AF70" s="101"/>
      <c r="AG70" s="101">
        <f t="shared" si="98"/>
        <v>0</v>
      </c>
      <c r="AH70" s="102">
        <v>0</v>
      </c>
      <c r="AI70" s="101">
        <f t="shared" si="99"/>
        <v>7.6271186440677967</v>
      </c>
      <c r="AJ70" s="101">
        <v>9</v>
      </c>
      <c r="AK70" s="101">
        <f t="shared" si="100"/>
        <v>0</v>
      </c>
      <c r="AL70" s="102">
        <v>0</v>
      </c>
      <c r="AM70" s="101">
        <f t="shared" si="101"/>
        <v>11.864406779661017</v>
      </c>
      <c r="AN70" s="101">
        <v>14</v>
      </c>
      <c r="AO70" s="101">
        <f t="shared" si="102"/>
        <v>0</v>
      </c>
      <c r="AP70" s="101">
        <f t="shared" si="19"/>
        <v>252.11864406779662</v>
      </c>
      <c r="AQ70" s="101">
        <f t="shared" si="85"/>
        <v>297.5</v>
      </c>
      <c r="AR70" s="102">
        <v>0</v>
      </c>
      <c r="AS70" s="101" t="s">
        <v>270</v>
      </c>
      <c r="AT70" s="103">
        <v>0</v>
      </c>
      <c r="AU70" s="103">
        <f t="shared" si="53"/>
        <v>5.0847457627118651</v>
      </c>
      <c r="AV70" s="103">
        <v>6</v>
      </c>
      <c r="AW70" s="103">
        <f t="shared" ref="AW70:AW127" si="104">AU70*AR70</f>
        <v>0</v>
      </c>
      <c r="AX70" s="103">
        <f t="shared" si="103"/>
        <v>0</v>
      </c>
      <c r="AY70" s="104">
        <f t="shared" si="2"/>
        <v>252.11864406779662</v>
      </c>
      <c r="AZ70" s="105">
        <f t="shared" si="3"/>
        <v>297.5</v>
      </c>
      <c r="BA70" s="9"/>
      <c r="BB70" s="9"/>
      <c r="BC70" s="9"/>
      <c r="BD70" s="9"/>
      <c r="BE70" s="43"/>
      <c r="BF70" s="43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</row>
    <row r="71" spans="1:93" s="4" customFormat="1" ht="274.5" outlineLevel="1" x14ac:dyDescent="0.25">
      <c r="A71" s="97">
        <f t="shared" si="86"/>
        <v>55</v>
      </c>
      <c r="B71" s="98" t="s">
        <v>21</v>
      </c>
      <c r="C71" s="125" t="s">
        <v>90</v>
      </c>
      <c r="D71" s="99" t="s">
        <v>19</v>
      </c>
      <c r="E71" s="100">
        <f t="shared" si="83"/>
        <v>61.5</v>
      </c>
      <c r="F71" s="101">
        <v>0</v>
      </c>
      <c r="G71" s="101">
        <v>0</v>
      </c>
      <c r="H71" s="101">
        <v>0</v>
      </c>
      <c r="I71" s="101">
        <f t="shared" si="89"/>
        <v>0</v>
      </c>
      <c r="J71" s="100">
        <v>0</v>
      </c>
      <c r="K71" s="101">
        <f t="shared" si="87"/>
        <v>11.864406779661017</v>
      </c>
      <c r="L71" s="101">
        <v>14</v>
      </c>
      <c r="M71" s="101">
        <f t="shared" si="90"/>
        <v>0</v>
      </c>
      <c r="N71" s="102">
        <v>61.5</v>
      </c>
      <c r="O71" s="101">
        <f t="shared" si="91"/>
        <v>4.2372881355932206</v>
      </c>
      <c r="P71" s="101">
        <v>5</v>
      </c>
      <c r="Q71" s="101">
        <f t="shared" si="92"/>
        <v>307.5</v>
      </c>
      <c r="R71" s="100">
        <v>0</v>
      </c>
      <c r="S71" s="101">
        <f t="shared" si="93"/>
        <v>14.40677966101695</v>
      </c>
      <c r="T71" s="101">
        <v>17</v>
      </c>
      <c r="U71" s="101">
        <f t="shared" si="94"/>
        <v>0</v>
      </c>
      <c r="V71" s="101">
        <v>0</v>
      </c>
      <c r="W71" s="101">
        <v>4.2</v>
      </c>
      <c r="X71" s="101">
        <v>7</v>
      </c>
      <c r="Y71" s="101">
        <f t="shared" si="95"/>
        <v>0</v>
      </c>
      <c r="Z71" s="100">
        <v>0</v>
      </c>
      <c r="AA71" s="101">
        <f t="shared" si="96"/>
        <v>5.5084745762711869</v>
      </c>
      <c r="AB71" s="101">
        <v>6.5</v>
      </c>
      <c r="AC71" s="101">
        <f t="shared" si="97"/>
        <v>0</v>
      </c>
      <c r="AD71" s="101">
        <v>0</v>
      </c>
      <c r="AE71" s="101"/>
      <c r="AF71" s="101"/>
      <c r="AG71" s="101">
        <f t="shared" si="98"/>
        <v>0</v>
      </c>
      <c r="AH71" s="102">
        <v>0</v>
      </c>
      <c r="AI71" s="101">
        <f t="shared" si="99"/>
        <v>7.6271186440677967</v>
      </c>
      <c r="AJ71" s="101">
        <v>9</v>
      </c>
      <c r="AK71" s="101">
        <f t="shared" si="100"/>
        <v>0</v>
      </c>
      <c r="AL71" s="102">
        <v>0</v>
      </c>
      <c r="AM71" s="101">
        <f t="shared" si="101"/>
        <v>11.864406779661017</v>
      </c>
      <c r="AN71" s="101">
        <v>14</v>
      </c>
      <c r="AO71" s="101">
        <f t="shared" si="102"/>
        <v>0</v>
      </c>
      <c r="AP71" s="101">
        <f t="shared" si="19"/>
        <v>260.59322033898309</v>
      </c>
      <c r="AQ71" s="101">
        <f t="shared" si="85"/>
        <v>307.5</v>
      </c>
      <c r="AR71" s="102">
        <v>0</v>
      </c>
      <c r="AS71" s="101" t="s">
        <v>270</v>
      </c>
      <c r="AT71" s="103">
        <v>0</v>
      </c>
      <c r="AU71" s="103">
        <f t="shared" si="53"/>
        <v>5.0847457627118651</v>
      </c>
      <c r="AV71" s="103">
        <v>6</v>
      </c>
      <c r="AW71" s="103">
        <f t="shared" si="104"/>
        <v>0</v>
      </c>
      <c r="AX71" s="103">
        <f t="shared" si="103"/>
        <v>0</v>
      </c>
      <c r="AY71" s="104">
        <f t="shared" ref="AY71:AZ127" si="105">AP71+AW71</f>
        <v>260.59322033898309</v>
      </c>
      <c r="AZ71" s="105">
        <f t="shared" si="105"/>
        <v>307.5</v>
      </c>
      <c r="BA71" s="9"/>
      <c r="BB71" s="9"/>
      <c r="BC71" s="9"/>
      <c r="BD71" s="9"/>
      <c r="BE71" s="43"/>
      <c r="BF71" s="43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</row>
    <row r="72" spans="1:93" s="4" customFormat="1" ht="274.5" outlineLevel="1" x14ac:dyDescent="0.25">
      <c r="A72" s="97">
        <f t="shared" si="86"/>
        <v>56</v>
      </c>
      <c r="B72" s="98" t="s">
        <v>21</v>
      </c>
      <c r="C72" s="127" t="s">
        <v>237</v>
      </c>
      <c r="D72" s="99" t="s">
        <v>19</v>
      </c>
      <c r="E72" s="100">
        <f t="shared" si="83"/>
        <v>12</v>
      </c>
      <c r="F72" s="101">
        <v>0</v>
      </c>
      <c r="G72" s="101">
        <v>0</v>
      </c>
      <c r="H72" s="101">
        <v>0</v>
      </c>
      <c r="I72" s="101">
        <f t="shared" ref="I72" si="106">H72*F72</f>
        <v>0</v>
      </c>
      <c r="J72" s="100">
        <v>0</v>
      </c>
      <c r="K72" s="101">
        <f t="shared" ref="K72" si="107">L72/1.18</f>
        <v>11.864406779661017</v>
      </c>
      <c r="L72" s="101">
        <v>14</v>
      </c>
      <c r="M72" s="101">
        <f t="shared" ref="M72" si="108">L72*J72</f>
        <v>0</v>
      </c>
      <c r="N72" s="102">
        <v>12</v>
      </c>
      <c r="O72" s="101">
        <f t="shared" ref="O72" si="109">P72/1.18</f>
        <v>4.2372881355932206</v>
      </c>
      <c r="P72" s="101">
        <v>5</v>
      </c>
      <c r="Q72" s="101">
        <f t="shared" ref="Q72" si="110">P72*N72</f>
        <v>60</v>
      </c>
      <c r="R72" s="100">
        <v>0</v>
      </c>
      <c r="S72" s="101">
        <f t="shared" ref="S72" si="111">T72/1.18</f>
        <v>14.40677966101695</v>
      </c>
      <c r="T72" s="101">
        <v>17</v>
      </c>
      <c r="U72" s="101">
        <f t="shared" ref="U72" si="112">T72*R72</f>
        <v>0</v>
      </c>
      <c r="V72" s="101">
        <v>0</v>
      </c>
      <c r="W72" s="101">
        <f t="shared" ref="W72" si="113">X72/1.18</f>
        <v>5.9322033898305087</v>
      </c>
      <c r="X72" s="101">
        <v>7</v>
      </c>
      <c r="Y72" s="101">
        <f t="shared" ref="Y72" si="114">X72*V72</f>
        <v>0</v>
      </c>
      <c r="Z72" s="100">
        <v>0</v>
      </c>
      <c r="AA72" s="101">
        <f t="shared" ref="AA72" si="115">AB72/1.18</f>
        <v>5.5084745762711869</v>
      </c>
      <c r="AB72" s="101">
        <v>6.5</v>
      </c>
      <c r="AC72" s="101">
        <f t="shared" ref="AC72" si="116">AB72*Z72</f>
        <v>0</v>
      </c>
      <c r="AD72" s="101">
        <v>0</v>
      </c>
      <c r="AE72" s="101"/>
      <c r="AF72" s="101"/>
      <c r="AG72" s="101">
        <f t="shared" ref="AG72" si="117">AF72*AD72</f>
        <v>0</v>
      </c>
      <c r="AH72" s="102">
        <v>0</v>
      </c>
      <c r="AI72" s="101">
        <f t="shared" ref="AI72" si="118">AJ72/1.18</f>
        <v>7.6271186440677967</v>
      </c>
      <c r="AJ72" s="101">
        <v>9</v>
      </c>
      <c r="AK72" s="101">
        <f t="shared" ref="AK72" si="119">AJ72*AH72</f>
        <v>0</v>
      </c>
      <c r="AL72" s="102">
        <v>0</v>
      </c>
      <c r="AM72" s="101">
        <f t="shared" ref="AM72" si="120">AN72/1.18</f>
        <v>11.864406779661017</v>
      </c>
      <c r="AN72" s="101">
        <v>14</v>
      </c>
      <c r="AO72" s="101">
        <f t="shared" ref="AO72" si="121">AN72*AL72</f>
        <v>0</v>
      </c>
      <c r="AP72" s="101">
        <f t="shared" ref="AP72:AP127" si="122">AQ72/1.18</f>
        <v>50.847457627118644</v>
      </c>
      <c r="AQ72" s="101">
        <f t="shared" si="85"/>
        <v>60</v>
      </c>
      <c r="AR72" s="102">
        <v>0</v>
      </c>
      <c r="AS72" s="101" t="s">
        <v>270</v>
      </c>
      <c r="AT72" s="103">
        <v>0</v>
      </c>
      <c r="AU72" s="103">
        <f t="shared" ref="AU72" si="123">AV72/1.18</f>
        <v>5.0847457627118651</v>
      </c>
      <c r="AV72" s="103">
        <v>6</v>
      </c>
      <c r="AW72" s="103">
        <f t="shared" ref="AW72" si="124">AU72*AR72</f>
        <v>0</v>
      </c>
      <c r="AX72" s="103">
        <f t="shared" ref="AX72" si="125">AV72*AR72</f>
        <v>0</v>
      </c>
      <c r="AY72" s="104">
        <f t="shared" si="105"/>
        <v>50.847457627118644</v>
      </c>
      <c r="AZ72" s="105">
        <f t="shared" si="105"/>
        <v>60</v>
      </c>
      <c r="BA72" s="9"/>
      <c r="BB72" s="9"/>
      <c r="BC72" s="9"/>
      <c r="BD72" s="9"/>
      <c r="BE72" s="43"/>
      <c r="BF72" s="43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</row>
    <row r="73" spans="1:93" s="58" customFormat="1" ht="45.75" outlineLevel="1" x14ac:dyDescent="0.25">
      <c r="A73" s="145" t="s">
        <v>192</v>
      </c>
      <c r="B73" s="146"/>
      <c r="C73" s="146"/>
      <c r="D73" s="120"/>
      <c r="E73" s="100"/>
      <c r="F73" s="120"/>
      <c r="G73" s="101">
        <v>0</v>
      </c>
      <c r="H73" s="101">
        <v>0</v>
      </c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07"/>
      <c r="AQ73" s="107"/>
      <c r="AR73" s="120"/>
      <c r="AS73" s="101"/>
      <c r="AT73" s="120"/>
      <c r="AU73" s="120"/>
      <c r="AV73" s="120"/>
      <c r="AW73" s="120"/>
      <c r="AX73" s="120"/>
      <c r="AY73" s="107"/>
      <c r="AZ73" s="119"/>
      <c r="BB73" s="9"/>
      <c r="BC73" s="9"/>
      <c r="BD73" s="9"/>
      <c r="BE73" s="9"/>
      <c r="BF73" s="9"/>
    </row>
    <row r="74" spans="1:93" s="4" customFormat="1" ht="183" outlineLevel="1" x14ac:dyDescent="0.25">
      <c r="A74" s="97">
        <v>57</v>
      </c>
      <c r="B74" s="98" t="s">
        <v>227</v>
      </c>
      <c r="C74" s="125" t="s">
        <v>91</v>
      </c>
      <c r="D74" s="99" t="s">
        <v>19</v>
      </c>
      <c r="E74" s="100">
        <f t="shared" ref="E74:E91" si="126">F74+J74+N74+R74+V74+Z74+AD74+AH74+AL74</f>
        <v>804.7</v>
      </c>
      <c r="F74" s="101">
        <v>0</v>
      </c>
      <c r="G74" s="101">
        <v>0</v>
      </c>
      <c r="H74" s="101">
        <v>0</v>
      </c>
      <c r="I74" s="101">
        <f t="shared" si="89"/>
        <v>0</v>
      </c>
      <c r="J74" s="100">
        <f>95.8</f>
        <v>95.8</v>
      </c>
      <c r="K74" s="101">
        <f t="shared" si="87"/>
        <v>11.864406779661017</v>
      </c>
      <c r="L74" s="101">
        <v>14</v>
      </c>
      <c r="M74" s="101">
        <f t="shared" si="90"/>
        <v>1341.2</v>
      </c>
      <c r="N74" s="102">
        <v>362.7</v>
      </c>
      <c r="O74" s="101">
        <f t="shared" si="91"/>
        <v>4.2372881355932206</v>
      </c>
      <c r="P74" s="101">
        <v>5</v>
      </c>
      <c r="Q74" s="101">
        <f t="shared" si="92"/>
        <v>1813.5</v>
      </c>
      <c r="R74" s="100">
        <v>0</v>
      </c>
      <c r="S74" s="101">
        <f t="shared" si="93"/>
        <v>14.40677966101695</v>
      </c>
      <c r="T74" s="101">
        <v>17</v>
      </c>
      <c r="U74" s="101">
        <f t="shared" si="94"/>
        <v>0</v>
      </c>
      <c r="V74" s="101">
        <f>6.5+55</f>
        <v>61.5</v>
      </c>
      <c r="W74" s="101">
        <f t="shared" ref="W74:W75" si="127">X74/1.18</f>
        <v>5.9322033898305087</v>
      </c>
      <c r="X74" s="101">
        <v>7</v>
      </c>
      <c r="Y74" s="101">
        <f t="shared" si="95"/>
        <v>430.5</v>
      </c>
      <c r="Z74" s="100">
        <f>90.4+5+52+12+48.1</f>
        <v>207.5</v>
      </c>
      <c r="AA74" s="101">
        <f t="shared" si="96"/>
        <v>5.5084745762711869</v>
      </c>
      <c r="AB74" s="101">
        <v>6.5</v>
      </c>
      <c r="AC74" s="101">
        <f t="shared" si="97"/>
        <v>1348.75</v>
      </c>
      <c r="AD74" s="100">
        <f>SUM(AD75:AD91)</f>
        <v>0</v>
      </c>
      <c r="AE74" s="101"/>
      <c r="AF74" s="101"/>
      <c r="AG74" s="101">
        <f t="shared" si="98"/>
        <v>0</v>
      </c>
      <c r="AH74" s="102">
        <v>0</v>
      </c>
      <c r="AI74" s="101">
        <f t="shared" si="99"/>
        <v>7.6271186440677967</v>
      </c>
      <c r="AJ74" s="101">
        <v>9</v>
      </c>
      <c r="AK74" s="101">
        <f t="shared" si="100"/>
        <v>0</v>
      </c>
      <c r="AL74" s="102">
        <v>77.2</v>
      </c>
      <c r="AM74" s="101">
        <f t="shared" si="101"/>
        <v>11.864406779661017</v>
      </c>
      <c r="AN74" s="101">
        <v>14</v>
      </c>
      <c r="AO74" s="101">
        <f t="shared" si="102"/>
        <v>1080.8</v>
      </c>
      <c r="AP74" s="101">
        <f t="shared" si="122"/>
        <v>5097.2457627118647</v>
      </c>
      <c r="AQ74" s="101">
        <f t="shared" ref="AQ74:AQ91" si="128">I74+M74+Q74+U74+Y74+AC74+AG74+AK74+AO74</f>
        <v>6014.75</v>
      </c>
      <c r="AR74" s="102">
        <f>1516+6</f>
        <v>1522</v>
      </c>
      <c r="AS74" s="101" t="s">
        <v>270</v>
      </c>
      <c r="AT74" s="103">
        <v>0</v>
      </c>
      <c r="AU74" s="103">
        <f t="shared" ref="AU74:AU127" si="129">AV74/1.18</f>
        <v>5.0847457627118651</v>
      </c>
      <c r="AV74" s="103">
        <v>6</v>
      </c>
      <c r="AW74" s="103">
        <f t="shared" si="104"/>
        <v>7738.9830508474588</v>
      </c>
      <c r="AX74" s="103">
        <f t="shared" si="103"/>
        <v>9132</v>
      </c>
      <c r="AY74" s="104">
        <f t="shared" si="105"/>
        <v>12836.228813559323</v>
      </c>
      <c r="AZ74" s="105">
        <f t="shared" si="105"/>
        <v>15146.75</v>
      </c>
      <c r="BA74" s="9"/>
      <c r="BB74" s="9"/>
      <c r="BC74" s="9"/>
      <c r="BD74" s="9"/>
      <c r="BE74" s="43"/>
      <c r="BF74" s="43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</row>
    <row r="75" spans="1:93" s="4" customFormat="1" ht="183" outlineLevel="1" x14ac:dyDescent="0.25">
      <c r="A75" s="97">
        <f>A74+1</f>
        <v>58</v>
      </c>
      <c r="B75" s="98" t="s">
        <v>211</v>
      </c>
      <c r="C75" s="125" t="s">
        <v>92</v>
      </c>
      <c r="D75" s="99" t="s">
        <v>19</v>
      </c>
      <c r="E75" s="100">
        <f t="shared" si="126"/>
        <v>1140.5</v>
      </c>
      <c r="F75" s="101">
        <v>0</v>
      </c>
      <c r="G75" s="101">
        <v>0</v>
      </c>
      <c r="H75" s="101">
        <v>0</v>
      </c>
      <c r="I75" s="101">
        <f t="shared" si="89"/>
        <v>0</v>
      </c>
      <c r="J75" s="100">
        <f>85.1+65+185.4+62.5+56.3</f>
        <v>454.3</v>
      </c>
      <c r="K75" s="101">
        <f t="shared" si="87"/>
        <v>11.864406779661017</v>
      </c>
      <c r="L75" s="101">
        <v>14</v>
      </c>
      <c r="M75" s="101">
        <f t="shared" ref="M75:M78" si="130">L75*J75</f>
        <v>6360.2</v>
      </c>
      <c r="N75" s="102">
        <v>140.30000000000001</v>
      </c>
      <c r="O75" s="101">
        <f t="shared" ref="O75:O79" si="131">P75/1.18</f>
        <v>4.2372881355932206</v>
      </c>
      <c r="P75" s="101">
        <v>5</v>
      </c>
      <c r="Q75" s="101">
        <f t="shared" ref="Q75:Q79" si="132">P75*N75</f>
        <v>701.5</v>
      </c>
      <c r="R75" s="100">
        <f>63+64.1</f>
        <v>127.1</v>
      </c>
      <c r="S75" s="101">
        <f t="shared" ref="S75:S77" si="133">T75/1.18</f>
        <v>14.40677966101695</v>
      </c>
      <c r="T75" s="101">
        <v>17</v>
      </c>
      <c r="U75" s="101">
        <f t="shared" ref="U75:U77" si="134">T75*R75</f>
        <v>2160.6999999999998</v>
      </c>
      <c r="V75" s="101">
        <f>30.3+10+1</f>
        <v>41.3</v>
      </c>
      <c r="W75" s="101">
        <f t="shared" si="127"/>
        <v>5.9322033898305087</v>
      </c>
      <c r="X75" s="101">
        <v>7</v>
      </c>
      <c r="Y75" s="101">
        <f t="shared" ref="Y75:Y78" si="135">X75*V75</f>
        <v>289.09999999999997</v>
      </c>
      <c r="Z75" s="100">
        <f>101.9+74.9+11.5+32.7+91.9+35.1+8.1</f>
        <v>356.1</v>
      </c>
      <c r="AA75" s="101">
        <f t="shared" si="96"/>
        <v>5.5084745762711869</v>
      </c>
      <c r="AB75" s="101">
        <v>6.5</v>
      </c>
      <c r="AC75" s="101">
        <f t="shared" ref="AC75:AC78" si="136">AB75*Z75</f>
        <v>2314.65</v>
      </c>
      <c r="AD75" s="101">
        <v>0</v>
      </c>
      <c r="AE75" s="101"/>
      <c r="AF75" s="101"/>
      <c r="AG75" s="101">
        <f t="shared" ref="AG75:AG78" si="137">AF75*AD75</f>
        <v>0</v>
      </c>
      <c r="AH75" s="102">
        <v>0</v>
      </c>
      <c r="AI75" s="101">
        <f t="shared" si="99"/>
        <v>7.6271186440677967</v>
      </c>
      <c r="AJ75" s="101">
        <v>9</v>
      </c>
      <c r="AK75" s="101">
        <f t="shared" ref="AK75:AK91" si="138">AJ75*AH75</f>
        <v>0</v>
      </c>
      <c r="AL75" s="102">
        <v>21.4</v>
      </c>
      <c r="AM75" s="101">
        <f t="shared" ref="AM75:AM78" si="139">AN75/1.18</f>
        <v>11.864406779661017</v>
      </c>
      <c r="AN75" s="101">
        <v>14</v>
      </c>
      <c r="AO75" s="101">
        <f t="shared" ref="AO75:AO78" si="140">AN75*AL75</f>
        <v>299.59999999999997</v>
      </c>
      <c r="AP75" s="101">
        <f t="shared" si="122"/>
        <v>10276.0593220339</v>
      </c>
      <c r="AQ75" s="101">
        <f t="shared" si="128"/>
        <v>12125.75</v>
      </c>
      <c r="AR75" s="102">
        <f>1472.6+63</f>
        <v>1535.6</v>
      </c>
      <c r="AS75" s="101" t="s">
        <v>270</v>
      </c>
      <c r="AT75" s="103">
        <v>0</v>
      </c>
      <c r="AU75" s="103">
        <f t="shared" si="129"/>
        <v>5.0847457627118651</v>
      </c>
      <c r="AV75" s="103">
        <v>6</v>
      </c>
      <c r="AW75" s="103">
        <f t="shared" ref="AW75:AW77" si="141">AU75*AR75</f>
        <v>7808.1355932203396</v>
      </c>
      <c r="AX75" s="103">
        <f t="shared" ref="AX75:AX77" si="142">AV75*AR75</f>
        <v>9213.5999999999985</v>
      </c>
      <c r="AY75" s="104">
        <f t="shared" si="105"/>
        <v>18084.19491525424</v>
      </c>
      <c r="AZ75" s="105">
        <f t="shared" si="105"/>
        <v>21339.35</v>
      </c>
      <c r="BA75" s="9"/>
      <c r="BB75" s="9"/>
      <c r="BC75" s="9"/>
      <c r="BD75" s="9"/>
      <c r="BE75" s="43"/>
      <c r="BF75" s="43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</row>
    <row r="76" spans="1:93" s="4" customFormat="1" ht="183" outlineLevel="1" x14ac:dyDescent="0.25">
      <c r="A76" s="97">
        <f t="shared" ref="A76:A91" si="143">A75+1</f>
        <v>59</v>
      </c>
      <c r="B76" s="98" t="s">
        <v>21</v>
      </c>
      <c r="C76" s="125" t="s">
        <v>93</v>
      </c>
      <c r="D76" s="99" t="s">
        <v>19</v>
      </c>
      <c r="E76" s="100">
        <f t="shared" si="126"/>
        <v>205.3</v>
      </c>
      <c r="F76" s="101">
        <v>0</v>
      </c>
      <c r="G76" s="101">
        <v>0</v>
      </c>
      <c r="H76" s="101">
        <v>0</v>
      </c>
      <c r="I76" s="101">
        <f t="shared" ref="I76:I78" si="144">H76*F76</f>
        <v>0</v>
      </c>
      <c r="J76" s="100">
        <f>35.1+14.2</f>
        <v>49.3</v>
      </c>
      <c r="K76" s="101">
        <f t="shared" si="87"/>
        <v>11.864406779661017</v>
      </c>
      <c r="L76" s="101">
        <v>14</v>
      </c>
      <c r="M76" s="101">
        <f t="shared" si="130"/>
        <v>690.19999999999993</v>
      </c>
      <c r="N76" s="102">
        <v>28.4</v>
      </c>
      <c r="O76" s="101">
        <f t="shared" si="131"/>
        <v>4.2372881355932206</v>
      </c>
      <c r="P76" s="101">
        <v>5</v>
      </c>
      <c r="Q76" s="101">
        <f t="shared" si="132"/>
        <v>142</v>
      </c>
      <c r="R76" s="100">
        <v>0</v>
      </c>
      <c r="S76" s="101">
        <f t="shared" si="133"/>
        <v>14.40677966101695</v>
      </c>
      <c r="T76" s="101">
        <v>17</v>
      </c>
      <c r="U76" s="101">
        <f t="shared" si="134"/>
        <v>0</v>
      </c>
      <c r="V76" s="101">
        <v>4.9000000000000004</v>
      </c>
      <c r="W76" s="101">
        <v>4.2</v>
      </c>
      <c r="X76" s="101">
        <v>7</v>
      </c>
      <c r="Y76" s="101">
        <f t="shared" si="135"/>
        <v>34.300000000000004</v>
      </c>
      <c r="Z76" s="100">
        <f>80.5+42.2</f>
        <v>122.7</v>
      </c>
      <c r="AA76" s="101">
        <f t="shared" si="96"/>
        <v>5.5084745762711869</v>
      </c>
      <c r="AB76" s="101">
        <v>6.5</v>
      </c>
      <c r="AC76" s="101">
        <f t="shared" si="136"/>
        <v>797.55000000000007</v>
      </c>
      <c r="AD76" s="101">
        <v>0</v>
      </c>
      <c r="AE76" s="101"/>
      <c r="AF76" s="101"/>
      <c r="AG76" s="101">
        <f t="shared" si="137"/>
        <v>0</v>
      </c>
      <c r="AH76" s="102">
        <v>0</v>
      </c>
      <c r="AI76" s="101">
        <f t="shared" si="99"/>
        <v>7.6271186440677967</v>
      </c>
      <c r="AJ76" s="101">
        <v>9</v>
      </c>
      <c r="AK76" s="101">
        <f t="shared" si="138"/>
        <v>0</v>
      </c>
      <c r="AL76" s="102">
        <v>0</v>
      </c>
      <c r="AM76" s="101">
        <f t="shared" si="139"/>
        <v>11.864406779661017</v>
      </c>
      <c r="AN76" s="101">
        <v>14</v>
      </c>
      <c r="AO76" s="101">
        <f t="shared" si="140"/>
        <v>0</v>
      </c>
      <c r="AP76" s="101">
        <f t="shared" si="122"/>
        <v>1410.2118644067798</v>
      </c>
      <c r="AQ76" s="101">
        <f t="shared" si="128"/>
        <v>1664.05</v>
      </c>
      <c r="AR76" s="102">
        <f>531.4+12</f>
        <v>543.4</v>
      </c>
      <c r="AS76" s="101" t="s">
        <v>270</v>
      </c>
      <c r="AT76" s="103">
        <v>0</v>
      </c>
      <c r="AU76" s="103">
        <f t="shared" si="129"/>
        <v>5.0847457627118651</v>
      </c>
      <c r="AV76" s="103">
        <v>6</v>
      </c>
      <c r="AW76" s="103">
        <f t="shared" si="141"/>
        <v>2763.0508474576272</v>
      </c>
      <c r="AX76" s="103">
        <f t="shared" si="142"/>
        <v>3260.3999999999996</v>
      </c>
      <c r="AY76" s="104">
        <f t="shared" si="105"/>
        <v>4173.2627118644068</v>
      </c>
      <c r="AZ76" s="105">
        <f t="shared" si="105"/>
        <v>4924.45</v>
      </c>
      <c r="BA76" s="9"/>
      <c r="BB76" s="9"/>
      <c r="BC76" s="9"/>
      <c r="BD76" s="9"/>
      <c r="BE76" s="43"/>
      <c r="BF76" s="43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</row>
    <row r="77" spans="1:93" s="4" customFormat="1" ht="274.5" outlineLevel="1" x14ac:dyDescent="0.25">
      <c r="A77" s="97">
        <f t="shared" si="143"/>
        <v>60</v>
      </c>
      <c r="B77" s="98" t="s">
        <v>21</v>
      </c>
      <c r="C77" s="125" t="s">
        <v>94</v>
      </c>
      <c r="D77" s="99" t="s">
        <v>19</v>
      </c>
      <c r="E77" s="100">
        <f t="shared" si="126"/>
        <v>35.5</v>
      </c>
      <c r="F77" s="101">
        <v>0</v>
      </c>
      <c r="G77" s="101">
        <v>0</v>
      </c>
      <c r="H77" s="101">
        <v>0</v>
      </c>
      <c r="I77" s="101">
        <f t="shared" si="144"/>
        <v>0</v>
      </c>
      <c r="J77" s="100">
        <v>0</v>
      </c>
      <c r="K77" s="101">
        <f t="shared" si="87"/>
        <v>11.864406779661017</v>
      </c>
      <c r="L77" s="101">
        <v>14</v>
      </c>
      <c r="M77" s="101">
        <f t="shared" si="130"/>
        <v>0</v>
      </c>
      <c r="N77" s="102">
        <v>14.5</v>
      </c>
      <c r="O77" s="101">
        <f t="shared" si="131"/>
        <v>4.2372881355932206</v>
      </c>
      <c r="P77" s="101">
        <v>5</v>
      </c>
      <c r="Q77" s="101">
        <f t="shared" si="132"/>
        <v>72.5</v>
      </c>
      <c r="R77" s="100">
        <f>20.1+0.9</f>
        <v>21</v>
      </c>
      <c r="S77" s="101">
        <f t="shared" si="133"/>
        <v>14.40677966101695</v>
      </c>
      <c r="T77" s="101">
        <v>17</v>
      </c>
      <c r="U77" s="101">
        <f t="shared" si="134"/>
        <v>357</v>
      </c>
      <c r="V77" s="101">
        <v>0</v>
      </c>
      <c r="W77" s="101">
        <f t="shared" ref="W77:W79" si="145">X77/1.18</f>
        <v>5.9322033898305087</v>
      </c>
      <c r="X77" s="101">
        <v>7</v>
      </c>
      <c r="Y77" s="101">
        <f t="shared" si="135"/>
        <v>0</v>
      </c>
      <c r="Z77" s="100">
        <v>0</v>
      </c>
      <c r="AA77" s="101">
        <f t="shared" si="96"/>
        <v>5.5084745762711869</v>
      </c>
      <c r="AB77" s="101">
        <v>6.5</v>
      </c>
      <c r="AC77" s="101">
        <f t="shared" si="136"/>
        <v>0</v>
      </c>
      <c r="AD77" s="101">
        <v>0</v>
      </c>
      <c r="AE77" s="101"/>
      <c r="AF77" s="101"/>
      <c r="AG77" s="101">
        <f t="shared" si="137"/>
        <v>0</v>
      </c>
      <c r="AH77" s="102">
        <v>0</v>
      </c>
      <c r="AI77" s="101">
        <f t="shared" si="99"/>
        <v>7.6271186440677967</v>
      </c>
      <c r="AJ77" s="101">
        <v>9</v>
      </c>
      <c r="AK77" s="101">
        <f t="shared" si="138"/>
        <v>0</v>
      </c>
      <c r="AL77" s="102">
        <v>0</v>
      </c>
      <c r="AM77" s="101">
        <f t="shared" si="139"/>
        <v>11.864406779661017</v>
      </c>
      <c r="AN77" s="101">
        <v>14</v>
      </c>
      <c r="AO77" s="101">
        <f t="shared" si="140"/>
        <v>0</v>
      </c>
      <c r="AP77" s="101">
        <f t="shared" si="122"/>
        <v>363.98305084745766</v>
      </c>
      <c r="AQ77" s="101">
        <f t="shared" si="128"/>
        <v>429.5</v>
      </c>
      <c r="AR77" s="102">
        <f>1212.9+6</f>
        <v>1218.9000000000001</v>
      </c>
      <c r="AS77" s="101" t="s">
        <v>270</v>
      </c>
      <c r="AT77" s="103">
        <v>0</v>
      </c>
      <c r="AU77" s="103">
        <f t="shared" si="129"/>
        <v>5.0847457627118651</v>
      </c>
      <c r="AV77" s="103">
        <v>6</v>
      </c>
      <c r="AW77" s="103">
        <f t="shared" si="141"/>
        <v>6197.7966101694929</v>
      </c>
      <c r="AX77" s="103">
        <f t="shared" si="142"/>
        <v>7313.4000000000005</v>
      </c>
      <c r="AY77" s="104">
        <f t="shared" si="105"/>
        <v>6561.7796610169507</v>
      </c>
      <c r="AZ77" s="105">
        <f t="shared" si="105"/>
        <v>7742.9000000000005</v>
      </c>
      <c r="BA77" s="9"/>
      <c r="BB77" s="9"/>
      <c r="BC77" s="9"/>
      <c r="BD77" s="9"/>
      <c r="BE77" s="43"/>
      <c r="BF77" s="43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</row>
    <row r="78" spans="1:93" s="4" customFormat="1" ht="274.5" outlineLevel="1" x14ac:dyDescent="0.25">
      <c r="A78" s="97">
        <f t="shared" si="143"/>
        <v>61</v>
      </c>
      <c r="B78" s="98" t="s">
        <v>21</v>
      </c>
      <c r="C78" s="125" t="s">
        <v>95</v>
      </c>
      <c r="D78" s="99" t="s">
        <v>19</v>
      </c>
      <c r="E78" s="100">
        <f t="shared" si="126"/>
        <v>38.4</v>
      </c>
      <c r="F78" s="101">
        <v>0</v>
      </c>
      <c r="G78" s="101">
        <v>0</v>
      </c>
      <c r="H78" s="101">
        <v>0</v>
      </c>
      <c r="I78" s="101">
        <f t="shared" si="144"/>
        <v>0</v>
      </c>
      <c r="J78" s="100">
        <v>0</v>
      </c>
      <c r="K78" s="101">
        <f t="shared" si="87"/>
        <v>11.864406779661017</v>
      </c>
      <c r="L78" s="101">
        <v>14</v>
      </c>
      <c r="M78" s="101">
        <f t="shared" si="130"/>
        <v>0</v>
      </c>
      <c r="N78" s="102">
        <v>18.2</v>
      </c>
      <c r="O78" s="101">
        <f t="shared" si="131"/>
        <v>4.2372881355932206</v>
      </c>
      <c r="P78" s="101">
        <v>5</v>
      </c>
      <c r="Q78" s="101">
        <f t="shared" si="132"/>
        <v>91</v>
      </c>
      <c r="R78" s="100">
        <v>0</v>
      </c>
      <c r="S78" s="101">
        <f t="shared" si="93"/>
        <v>14.40677966101695</v>
      </c>
      <c r="T78" s="101">
        <v>17</v>
      </c>
      <c r="U78" s="101">
        <f t="shared" si="94"/>
        <v>0</v>
      </c>
      <c r="V78" s="101">
        <v>0</v>
      </c>
      <c r="W78" s="101">
        <f t="shared" si="145"/>
        <v>5.9322033898305087</v>
      </c>
      <c r="X78" s="101">
        <v>7</v>
      </c>
      <c r="Y78" s="101">
        <f t="shared" si="135"/>
        <v>0</v>
      </c>
      <c r="Z78" s="100">
        <f>20.2</f>
        <v>20.2</v>
      </c>
      <c r="AA78" s="101">
        <f t="shared" si="96"/>
        <v>5.5084745762711869</v>
      </c>
      <c r="AB78" s="101">
        <v>6.5</v>
      </c>
      <c r="AC78" s="101">
        <f t="shared" si="136"/>
        <v>131.29999999999998</v>
      </c>
      <c r="AD78" s="101">
        <v>0</v>
      </c>
      <c r="AE78" s="101"/>
      <c r="AF78" s="101"/>
      <c r="AG78" s="101">
        <f t="shared" si="137"/>
        <v>0</v>
      </c>
      <c r="AH78" s="102">
        <v>0</v>
      </c>
      <c r="AI78" s="101">
        <f t="shared" si="99"/>
        <v>7.6271186440677967</v>
      </c>
      <c r="AJ78" s="101">
        <v>9</v>
      </c>
      <c r="AK78" s="101">
        <f t="shared" si="138"/>
        <v>0</v>
      </c>
      <c r="AL78" s="102">
        <v>0</v>
      </c>
      <c r="AM78" s="101">
        <f t="shared" si="139"/>
        <v>11.864406779661017</v>
      </c>
      <c r="AN78" s="101">
        <v>14</v>
      </c>
      <c r="AO78" s="101">
        <f t="shared" si="140"/>
        <v>0</v>
      </c>
      <c r="AP78" s="101">
        <f t="shared" si="122"/>
        <v>188.38983050847457</v>
      </c>
      <c r="AQ78" s="101">
        <f t="shared" si="128"/>
        <v>222.29999999999998</v>
      </c>
      <c r="AR78" s="102">
        <f>477.2+26.1</f>
        <v>503.3</v>
      </c>
      <c r="AS78" s="101" t="s">
        <v>270</v>
      </c>
      <c r="AT78" s="103">
        <v>0</v>
      </c>
      <c r="AU78" s="103">
        <f t="shared" si="129"/>
        <v>5.0847457627118651</v>
      </c>
      <c r="AV78" s="103">
        <v>6</v>
      </c>
      <c r="AW78" s="103">
        <f t="shared" si="104"/>
        <v>2559.1525423728817</v>
      </c>
      <c r="AX78" s="103">
        <f t="shared" si="103"/>
        <v>3019.8</v>
      </c>
      <c r="AY78" s="104">
        <f t="shared" si="105"/>
        <v>2747.5423728813562</v>
      </c>
      <c r="AZ78" s="105">
        <f t="shared" si="105"/>
        <v>3242.1000000000004</v>
      </c>
      <c r="BA78" s="9"/>
      <c r="BB78" s="9"/>
      <c r="BC78" s="9"/>
      <c r="BD78" s="9"/>
      <c r="BE78" s="43"/>
      <c r="BF78" s="43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</row>
    <row r="79" spans="1:93" s="4" customFormat="1" ht="274.5" outlineLevel="1" x14ac:dyDescent="0.25">
      <c r="A79" s="97">
        <f t="shared" si="143"/>
        <v>62</v>
      </c>
      <c r="B79" s="98" t="s">
        <v>21</v>
      </c>
      <c r="C79" s="125" t="s">
        <v>96</v>
      </c>
      <c r="D79" s="99" t="s">
        <v>19</v>
      </c>
      <c r="E79" s="100">
        <f t="shared" si="126"/>
        <v>40</v>
      </c>
      <c r="F79" s="101">
        <v>0</v>
      </c>
      <c r="G79" s="101">
        <v>0</v>
      </c>
      <c r="H79" s="101">
        <v>0</v>
      </c>
      <c r="I79" s="101">
        <f t="shared" si="89"/>
        <v>0</v>
      </c>
      <c r="J79" s="100">
        <v>0</v>
      </c>
      <c r="K79" s="101">
        <f t="shared" si="87"/>
        <v>11.864406779661017</v>
      </c>
      <c r="L79" s="101">
        <v>14</v>
      </c>
      <c r="M79" s="101">
        <f t="shared" si="90"/>
        <v>0</v>
      </c>
      <c r="N79" s="102">
        <v>40</v>
      </c>
      <c r="O79" s="101">
        <f t="shared" si="131"/>
        <v>4.2372881355932206</v>
      </c>
      <c r="P79" s="101">
        <v>5</v>
      </c>
      <c r="Q79" s="101">
        <f t="shared" si="132"/>
        <v>200</v>
      </c>
      <c r="R79" s="100">
        <v>0</v>
      </c>
      <c r="S79" s="101">
        <f t="shared" si="93"/>
        <v>14.40677966101695</v>
      </c>
      <c r="T79" s="101">
        <v>17</v>
      </c>
      <c r="U79" s="101">
        <f t="shared" si="94"/>
        <v>0</v>
      </c>
      <c r="V79" s="101">
        <v>0</v>
      </c>
      <c r="W79" s="101">
        <f t="shared" si="145"/>
        <v>5.9322033898305087</v>
      </c>
      <c r="X79" s="101">
        <v>7</v>
      </c>
      <c r="Y79" s="101">
        <f t="shared" si="95"/>
        <v>0</v>
      </c>
      <c r="Z79" s="100">
        <v>0</v>
      </c>
      <c r="AA79" s="101">
        <f t="shared" si="96"/>
        <v>5.5084745762711869</v>
      </c>
      <c r="AB79" s="101">
        <v>6.5</v>
      </c>
      <c r="AC79" s="101">
        <f t="shared" si="97"/>
        <v>0</v>
      </c>
      <c r="AD79" s="101">
        <v>0</v>
      </c>
      <c r="AE79" s="101"/>
      <c r="AF79" s="101"/>
      <c r="AG79" s="101">
        <f t="shared" si="98"/>
        <v>0</v>
      </c>
      <c r="AH79" s="102">
        <v>0</v>
      </c>
      <c r="AI79" s="101">
        <f t="shared" si="99"/>
        <v>7.6271186440677967</v>
      </c>
      <c r="AJ79" s="101">
        <v>9</v>
      </c>
      <c r="AK79" s="101">
        <f t="shared" si="138"/>
        <v>0</v>
      </c>
      <c r="AL79" s="102">
        <v>0</v>
      </c>
      <c r="AM79" s="101">
        <f t="shared" si="101"/>
        <v>11.864406779661017</v>
      </c>
      <c r="AN79" s="101">
        <v>14</v>
      </c>
      <c r="AO79" s="101">
        <f t="shared" si="102"/>
        <v>0</v>
      </c>
      <c r="AP79" s="101">
        <f t="shared" si="122"/>
        <v>169.49152542372883</v>
      </c>
      <c r="AQ79" s="101">
        <f t="shared" si="128"/>
        <v>200</v>
      </c>
      <c r="AR79" s="102">
        <f>10</f>
        <v>10</v>
      </c>
      <c r="AS79" s="101" t="s">
        <v>270</v>
      </c>
      <c r="AT79" s="103">
        <v>0</v>
      </c>
      <c r="AU79" s="103">
        <f t="shared" si="129"/>
        <v>5.0847457627118651</v>
      </c>
      <c r="AV79" s="103">
        <v>6</v>
      </c>
      <c r="AW79" s="103">
        <f t="shared" si="104"/>
        <v>50.847457627118651</v>
      </c>
      <c r="AX79" s="103">
        <f t="shared" si="103"/>
        <v>60</v>
      </c>
      <c r="AY79" s="104">
        <f t="shared" si="105"/>
        <v>220.33898305084747</v>
      </c>
      <c r="AZ79" s="105">
        <f t="shared" si="105"/>
        <v>260</v>
      </c>
      <c r="BA79" s="9"/>
      <c r="BB79" s="9"/>
      <c r="BC79" s="9"/>
      <c r="BD79" s="9"/>
      <c r="BE79" s="43"/>
      <c r="BF79" s="43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</row>
    <row r="80" spans="1:93" s="4" customFormat="1" ht="320.25" outlineLevel="1" x14ac:dyDescent="0.25">
      <c r="A80" s="97">
        <f t="shared" si="143"/>
        <v>63</v>
      </c>
      <c r="B80" s="98" t="s">
        <v>21</v>
      </c>
      <c r="C80" s="125" t="s">
        <v>97</v>
      </c>
      <c r="D80" s="99" t="s">
        <v>19</v>
      </c>
      <c r="E80" s="100">
        <f t="shared" si="126"/>
        <v>9.5</v>
      </c>
      <c r="F80" s="101">
        <v>0</v>
      </c>
      <c r="G80" s="101">
        <v>0</v>
      </c>
      <c r="H80" s="101">
        <v>0</v>
      </c>
      <c r="I80" s="101">
        <f t="shared" si="89"/>
        <v>0</v>
      </c>
      <c r="J80" s="100">
        <v>0</v>
      </c>
      <c r="K80" s="101">
        <f t="shared" si="87"/>
        <v>11.864406779661017</v>
      </c>
      <c r="L80" s="101">
        <v>14</v>
      </c>
      <c r="M80" s="101">
        <f t="shared" si="90"/>
        <v>0</v>
      </c>
      <c r="N80" s="102">
        <v>9.5</v>
      </c>
      <c r="O80" s="101">
        <f t="shared" si="91"/>
        <v>4.2372881355932206</v>
      </c>
      <c r="P80" s="101">
        <v>5</v>
      </c>
      <c r="Q80" s="101">
        <f t="shared" si="92"/>
        <v>47.5</v>
      </c>
      <c r="R80" s="100">
        <v>0</v>
      </c>
      <c r="S80" s="101">
        <f t="shared" si="93"/>
        <v>14.40677966101695</v>
      </c>
      <c r="T80" s="101">
        <v>17</v>
      </c>
      <c r="U80" s="101">
        <f t="shared" si="94"/>
        <v>0</v>
      </c>
      <c r="V80" s="101">
        <v>0</v>
      </c>
      <c r="W80" s="101">
        <v>4.2</v>
      </c>
      <c r="X80" s="101">
        <v>7</v>
      </c>
      <c r="Y80" s="101">
        <f t="shared" si="95"/>
        <v>0</v>
      </c>
      <c r="Z80" s="100">
        <v>0</v>
      </c>
      <c r="AA80" s="101">
        <f t="shared" si="96"/>
        <v>5.5084745762711869</v>
      </c>
      <c r="AB80" s="101">
        <v>6.5</v>
      </c>
      <c r="AC80" s="101">
        <f t="shared" si="97"/>
        <v>0</v>
      </c>
      <c r="AD80" s="101">
        <v>0</v>
      </c>
      <c r="AE80" s="101"/>
      <c r="AF80" s="101"/>
      <c r="AG80" s="101">
        <f t="shared" si="98"/>
        <v>0</v>
      </c>
      <c r="AH80" s="102">
        <v>0</v>
      </c>
      <c r="AI80" s="101">
        <f t="shared" si="99"/>
        <v>7.6271186440677967</v>
      </c>
      <c r="AJ80" s="101">
        <v>9</v>
      </c>
      <c r="AK80" s="101">
        <f t="shared" si="138"/>
        <v>0</v>
      </c>
      <c r="AL80" s="102">
        <v>0</v>
      </c>
      <c r="AM80" s="101">
        <f t="shared" si="101"/>
        <v>11.864406779661017</v>
      </c>
      <c r="AN80" s="101">
        <v>14</v>
      </c>
      <c r="AO80" s="101">
        <f t="shared" si="102"/>
        <v>0</v>
      </c>
      <c r="AP80" s="101">
        <f t="shared" si="122"/>
        <v>40.254237288135599</v>
      </c>
      <c r="AQ80" s="101">
        <f t="shared" si="128"/>
        <v>47.5</v>
      </c>
      <c r="AR80" s="102">
        <v>0</v>
      </c>
      <c r="AS80" s="101" t="s">
        <v>270</v>
      </c>
      <c r="AT80" s="103">
        <v>0</v>
      </c>
      <c r="AU80" s="103">
        <f t="shared" si="129"/>
        <v>5.0847457627118651</v>
      </c>
      <c r="AV80" s="103">
        <v>6</v>
      </c>
      <c r="AW80" s="103">
        <f t="shared" si="104"/>
        <v>0</v>
      </c>
      <c r="AX80" s="103">
        <f t="shared" si="103"/>
        <v>0</v>
      </c>
      <c r="AY80" s="104">
        <f t="shared" si="105"/>
        <v>40.254237288135599</v>
      </c>
      <c r="AZ80" s="105">
        <f t="shared" si="105"/>
        <v>47.5</v>
      </c>
      <c r="BA80" s="9"/>
      <c r="BB80" s="9"/>
      <c r="BC80" s="9"/>
      <c r="BD80" s="9"/>
      <c r="BE80" s="43"/>
      <c r="BF80" s="43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</row>
    <row r="81" spans="1:93" s="4" customFormat="1" ht="274.5" outlineLevel="1" x14ac:dyDescent="0.25">
      <c r="A81" s="97">
        <f t="shared" si="143"/>
        <v>64</v>
      </c>
      <c r="B81" s="98" t="s">
        <v>21</v>
      </c>
      <c r="C81" s="125" t="s">
        <v>98</v>
      </c>
      <c r="D81" s="99" t="s">
        <v>19</v>
      </c>
      <c r="E81" s="100">
        <f t="shared" si="126"/>
        <v>8.6</v>
      </c>
      <c r="F81" s="101">
        <v>0</v>
      </c>
      <c r="G81" s="101">
        <v>0</v>
      </c>
      <c r="H81" s="101">
        <v>0</v>
      </c>
      <c r="I81" s="101">
        <f t="shared" si="89"/>
        <v>0</v>
      </c>
      <c r="J81" s="100">
        <v>0</v>
      </c>
      <c r="K81" s="101">
        <f t="shared" si="87"/>
        <v>11.864406779661017</v>
      </c>
      <c r="L81" s="101">
        <v>14</v>
      </c>
      <c r="M81" s="101">
        <f t="shared" si="90"/>
        <v>0</v>
      </c>
      <c r="N81" s="102">
        <v>8.6</v>
      </c>
      <c r="O81" s="101">
        <f t="shared" si="91"/>
        <v>4.2372881355932206</v>
      </c>
      <c r="P81" s="101">
        <v>5</v>
      </c>
      <c r="Q81" s="101">
        <f t="shared" si="92"/>
        <v>43</v>
      </c>
      <c r="R81" s="100">
        <v>0</v>
      </c>
      <c r="S81" s="101">
        <f t="shared" si="93"/>
        <v>14.40677966101695</v>
      </c>
      <c r="T81" s="101">
        <v>17</v>
      </c>
      <c r="U81" s="101">
        <f t="shared" si="94"/>
        <v>0</v>
      </c>
      <c r="V81" s="101">
        <v>0</v>
      </c>
      <c r="W81" s="101">
        <f t="shared" ref="W81:W83" si="146">X81/1.18</f>
        <v>5.9322033898305087</v>
      </c>
      <c r="X81" s="101">
        <v>7</v>
      </c>
      <c r="Y81" s="101">
        <f t="shared" si="95"/>
        <v>0</v>
      </c>
      <c r="Z81" s="100">
        <v>0</v>
      </c>
      <c r="AA81" s="101">
        <f t="shared" si="96"/>
        <v>5.5084745762711869</v>
      </c>
      <c r="AB81" s="101">
        <v>6.5</v>
      </c>
      <c r="AC81" s="101">
        <f t="shared" si="97"/>
        <v>0</v>
      </c>
      <c r="AD81" s="101">
        <v>0</v>
      </c>
      <c r="AE81" s="101"/>
      <c r="AF81" s="101"/>
      <c r="AG81" s="101">
        <f t="shared" si="98"/>
        <v>0</v>
      </c>
      <c r="AH81" s="102">
        <v>0</v>
      </c>
      <c r="AI81" s="101">
        <f t="shared" si="99"/>
        <v>7.6271186440677967</v>
      </c>
      <c r="AJ81" s="101">
        <v>9</v>
      </c>
      <c r="AK81" s="101">
        <f t="shared" si="138"/>
        <v>0</v>
      </c>
      <c r="AL81" s="102">
        <v>0</v>
      </c>
      <c r="AM81" s="101">
        <f t="shared" si="101"/>
        <v>11.864406779661017</v>
      </c>
      <c r="AN81" s="101">
        <v>14</v>
      </c>
      <c r="AO81" s="101">
        <f t="shared" si="102"/>
        <v>0</v>
      </c>
      <c r="AP81" s="101">
        <f t="shared" si="122"/>
        <v>36.440677966101696</v>
      </c>
      <c r="AQ81" s="101">
        <f t="shared" si="128"/>
        <v>43</v>
      </c>
      <c r="AR81" s="102">
        <v>2</v>
      </c>
      <c r="AS81" s="101" t="s">
        <v>270</v>
      </c>
      <c r="AT81" s="103">
        <v>0</v>
      </c>
      <c r="AU81" s="103">
        <f t="shared" si="129"/>
        <v>5.0847457627118651</v>
      </c>
      <c r="AV81" s="103">
        <v>6</v>
      </c>
      <c r="AW81" s="103">
        <f t="shared" si="104"/>
        <v>10.16949152542373</v>
      </c>
      <c r="AX81" s="103">
        <f t="shared" si="103"/>
        <v>12</v>
      </c>
      <c r="AY81" s="104">
        <f t="shared" si="105"/>
        <v>46.610169491525426</v>
      </c>
      <c r="AZ81" s="105">
        <f t="shared" si="105"/>
        <v>55</v>
      </c>
      <c r="BA81" s="9"/>
      <c r="BB81" s="9"/>
      <c r="BC81" s="9"/>
      <c r="BD81" s="9"/>
      <c r="BE81" s="43"/>
      <c r="BF81" s="43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</row>
    <row r="82" spans="1:93" s="4" customFormat="1" ht="274.5" outlineLevel="1" x14ac:dyDescent="0.25">
      <c r="A82" s="97">
        <f t="shared" si="143"/>
        <v>65</v>
      </c>
      <c r="B82" s="98" t="s">
        <v>21</v>
      </c>
      <c r="C82" s="125" t="s">
        <v>99</v>
      </c>
      <c r="D82" s="99" t="s">
        <v>19</v>
      </c>
      <c r="E82" s="100">
        <f t="shared" si="126"/>
        <v>20</v>
      </c>
      <c r="F82" s="101">
        <v>0</v>
      </c>
      <c r="G82" s="101">
        <v>0</v>
      </c>
      <c r="H82" s="101">
        <v>0</v>
      </c>
      <c r="I82" s="101">
        <f t="shared" si="89"/>
        <v>0</v>
      </c>
      <c r="J82" s="100">
        <v>0</v>
      </c>
      <c r="K82" s="101">
        <f t="shared" si="87"/>
        <v>11.864406779661017</v>
      </c>
      <c r="L82" s="101">
        <v>14</v>
      </c>
      <c r="M82" s="101">
        <f t="shared" si="90"/>
        <v>0</v>
      </c>
      <c r="N82" s="102">
        <v>20</v>
      </c>
      <c r="O82" s="101">
        <f t="shared" si="91"/>
        <v>4.2372881355932206</v>
      </c>
      <c r="P82" s="101">
        <v>5</v>
      </c>
      <c r="Q82" s="101">
        <f t="shared" si="92"/>
        <v>100</v>
      </c>
      <c r="R82" s="100">
        <v>0</v>
      </c>
      <c r="S82" s="101">
        <f t="shared" si="93"/>
        <v>14.40677966101695</v>
      </c>
      <c r="T82" s="101">
        <v>17</v>
      </c>
      <c r="U82" s="101">
        <f t="shared" si="94"/>
        <v>0</v>
      </c>
      <c r="V82" s="101">
        <v>0</v>
      </c>
      <c r="W82" s="101">
        <f t="shared" si="146"/>
        <v>5.9322033898305087</v>
      </c>
      <c r="X82" s="101">
        <v>7</v>
      </c>
      <c r="Y82" s="101">
        <f t="shared" si="95"/>
        <v>0</v>
      </c>
      <c r="Z82" s="100">
        <v>0</v>
      </c>
      <c r="AA82" s="101">
        <f t="shared" si="96"/>
        <v>5.5084745762711869</v>
      </c>
      <c r="AB82" s="101">
        <v>6.5</v>
      </c>
      <c r="AC82" s="101">
        <f t="shared" si="97"/>
        <v>0</v>
      </c>
      <c r="AD82" s="101">
        <v>0</v>
      </c>
      <c r="AE82" s="101"/>
      <c r="AF82" s="101"/>
      <c r="AG82" s="101">
        <f t="shared" si="98"/>
        <v>0</v>
      </c>
      <c r="AH82" s="102">
        <v>0</v>
      </c>
      <c r="AI82" s="101">
        <f t="shared" si="99"/>
        <v>7.6271186440677967</v>
      </c>
      <c r="AJ82" s="101">
        <v>9</v>
      </c>
      <c r="AK82" s="101">
        <f t="shared" si="138"/>
        <v>0</v>
      </c>
      <c r="AL82" s="102">
        <v>0</v>
      </c>
      <c r="AM82" s="101">
        <f t="shared" si="101"/>
        <v>11.864406779661017</v>
      </c>
      <c r="AN82" s="101">
        <v>14</v>
      </c>
      <c r="AO82" s="101">
        <f t="shared" si="102"/>
        <v>0</v>
      </c>
      <c r="AP82" s="101">
        <f t="shared" si="122"/>
        <v>84.745762711864415</v>
      </c>
      <c r="AQ82" s="101">
        <f t="shared" si="128"/>
        <v>100</v>
      </c>
      <c r="AR82" s="102">
        <v>0</v>
      </c>
      <c r="AS82" s="101" t="s">
        <v>270</v>
      </c>
      <c r="AT82" s="103">
        <v>0</v>
      </c>
      <c r="AU82" s="103">
        <f t="shared" si="129"/>
        <v>5.0847457627118651</v>
      </c>
      <c r="AV82" s="103">
        <v>6</v>
      </c>
      <c r="AW82" s="103">
        <f t="shared" si="104"/>
        <v>0</v>
      </c>
      <c r="AX82" s="103">
        <f t="shared" si="103"/>
        <v>0</v>
      </c>
      <c r="AY82" s="104">
        <f t="shared" si="105"/>
        <v>84.745762711864415</v>
      </c>
      <c r="AZ82" s="105">
        <f t="shared" si="105"/>
        <v>100</v>
      </c>
      <c r="BA82" s="9"/>
      <c r="BB82" s="9"/>
      <c r="BC82" s="9"/>
      <c r="BD82" s="9"/>
      <c r="BE82" s="43"/>
      <c r="BF82" s="43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</row>
    <row r="83" spans="1:93" s="4" customFormat="1" ht="274.5" outlineLevel="1" x14ac:dyDescent="0.25">
      <c r="A83" s="97">
        <f t="shared" si="143"/>
        <v>66</v>
      </c>
      <c r="B83" s="98" t="s">
        <v>211</v>
      </c>
      <c r="C83" s="125" t="s">
        <v>100</v>
      </c>
      <c r="D83" s="99" t="s">
        <v>19</v>
      </c>
      <c r="E83" s="100">
        <f t="shared" si="126"/>
        <v>15</v>
      </c>
      <c r="F83" s="101">
        <v>0</v>
      </c>
      <c r="G83" s="101">
        <v>0</v>
      </c>
      <c r="H83" s="101">
        <v>0</v>
      </c>
      <c r="I83" s="101">
        <f t="shared" si="89"/>
        <v>0</v>
      </c>
      <c r="J83" s="100">
        <v>0</v>
      </c>
      <c r="K83" s="101">
        <f t="shared" si="87"/>
        <v>11.864406779661017</v>
      </c>
      <c r="L83" s="101">
        <v>14</v>
      </c>
      <c r="M83" s="101">
        <f t="shared" si="90"/>
        <v>0</v>
      </c>
      <c r="N83" s="102">
        <v>15</v>
      </c>
      <c r="O83" s="101">
        <f t="shared" si="91"/>
        <v>4.2372881355932206</v>
      </c>
      <c r="P83" s="101">
        <v>5</v>
      </c>
      <c r="Q83" s="101">
        <f t="shared" si="92"/>
        <v>75</v>
      </c>
      <c r="R83" s="100">
        <v>0</v>
      </c>
      <c r="S83" s="101">
        <f t="shared" si="93"/>
        <v>14.40677966101695</v>
      </c>
      <c r="T83" s="101">
        <v>17</v>
      </c>
      <c r="U83" s="101">
        <f t="shared" si="94"/>
        <v>0</v>
      </c>
      <c r="V83" s="101">
        <v>0</v>
      </c>
      <c r="W83" s="101">
        <f t="shared" si="146"/>
        <v>5.9322033898305087</v>
      </c>
      <c r="X83" s="101">
        <v>7</v>
      </c>
      <c r="Y83" s="101">
        <f t="shared" si="95"/>
        <v>0</v>
      </c>
      <c r="Z83" s="100">
        <v>0</v>
      </c>
      <c r="AA83" s="101">
        <f t="shared" si="96"/>
        <v>5.5084745762711869</v>
      </c>
      <c r="AB83" s="101">
        <v>6.5</v>
      </c>
      <c r="AC83" s="101">
        <f t="shared" si="97"/>
        <v>0</v>
      </c>
      <c r="AD83" s="101">
        <v>0</v>
      </c>
      <c r="AE83" s="101"/>
      <c r="AF83" s="101"/>
      <c r="AG83" s="101">
        <f t="shared" si="98"/>
        <v>0</v>
      </c>
      <c r="AH83" s="102">
        <v>0</v>
      </c>
      <c r="AI83" s="101">
        <f t="shared" si="99"/>
        <v>7.6271186440677967</v>
      </c>
      <c r="AJ83" s="101">
        <v>9</v>
      </c>
      <c r="AK83" s="101">
        <f t="shared" si="138"/>
        <v>0</v>
      </c>
      <c r="AL83" s="102">
        <v>0</v>
      </c>
      <c r="AM83" s="101">
        <f t="shared" si="101"/>
        <v>11.864406779661017</v>
      </c>
      <c r="AN83" s="101">
        <v>14</v>
      </c>
      <c r="AO83" s="101">
        <f t="shared" si="102"/>
        <v>0</v>
      </c>
      <c r="AP83" s="101">
        <f t="shared" si="122"/>
        <v>63.559322033898312</v>
      </c>
      <c r="AQ83" s="101">
        <f t="shared" si="128"/>
        <v>75</v>
      </c>
      <c r="AR83" s="102">
        <v>0</v>
      </c>
      <c r="AS83" s="101" t="s">
        <v>270</v>
      </c>
      <c r="AT83" s="103">
        <v>0</v>
      </c>
      <c r="AU83" s="103">
        <f t="shared" si="129"/>
        <v>5.0847457627118651</v>
      </c>
      <c r="AV83" s="103">
        <v>6</v>
      </c>
      <c r="AW83" s="103">
        <f t="shared" si="104"/>
        <v>0</v>
      </c>
      <c r="AX83" s="103">
        <f t="shared" si="103"/>
        <v>0</v>
      </c>
      <c r="AY83" s="104">
        <f t="shared" si="105"/>
        <v>63.559322033898312</v>
      </c>
      <c r="AZ83" s="105">
        <f t="shared" si="105"/>
        <v>75</v>
      </c>
      <c r="BA83" s="9"/>
      <c r="BB83" s="9"/>
      <c r="BC83" s="9"/>
      <c r="BD83" s="9"/>
      <c r="BE83" s="43"/>
      <c r="BF83" s="43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</row>
    <row r="84" spans="1:93" s="4" customFormat="1" ht="320.25" outlineLevel="1" x14ac:dyDescent="0.25">
      <c r="A84" s="97">
        <f t="shared" si="143"/>
        <v>67</v>
      </c>
      <c r="B84" s="98" t="s">
        <v>211</v>
      </c>
      <c r="C84" s="125" t="s">
        <v>101</v>
      </c>
      <c r="D84" s="99" t="s">
        <v>19</v>
      </c>
      <c r="E84" s="100">
        <f t="shared" si="126"/>
        <v>14.7</v>
      </c>
      <c r="F84" s="101">
        <v>0</v>
      </c>
      <c r="G84" s="101">
        <v>0</v>
      </c>
      <c r="H84" s="101">
        <v>0</v>
      </c>
      <c r="I84" s="101">
        <f t="shared" si="89"/>
        <v>0</v>
      </c>
      <c r="J84" s="100">
        <v>0</v>
      </c>
      <c r="K84" s="101">
        <f t="shared" si="87"/>
        <v>11.864406779661017</v>
      </c>
      <c r="L84" s="101">
        <v>14</v>
      </c>
      <c r="M84" s="101">
        <f t="shared" si="90"/>
        <v>0</v>
      </c>
      <c r="N84" s="102">
        <v>14.7</v>
      </c>
      <c r="O84" s="101">
        <f t="shared" si="91"/>
        <v>4.2372881355932206</v>
      </c>
      <c r="P84" s="101">
        <v>5</v>
      </c>
      <c r="Q84" s="101">
        <f t="shared" si="92"/>
        <v>73.5</v>
      </c>
      <c r="R84" s="100">
        <v>0</v>
      </c>
      <c r="S84" s="101">
        <f t="shared" si="93"/>
        <v>14.40677966101695</v>
      </c>
      <c r="T84" s="101">
        <v>17</v>
      </c>
      <c r="U84" s="101">
        <f t="shared" si="94"/>
        <v>0</v>
      </c>
      <c r="V84" s="101">
        <v>0</v>
      </c>
      <c r="W84" s="101">
        <v>4.2</v>
      </c>
      <c r="X84" s="101">
        <v>7</v>
      </c>
      <c r="Y84" s="101">
        <f t="shared" si="95"/>
        <v>0</v>
      </c>
      <c r="Z84" s="100">
        <v>0</v>
      </c>
      <c r="AA84" s="101">
        <f t="shared" si="96"/>
        <v>5.5084745762711869</v>
      </c>
      <c r="AB84" s="101">
        <v>6.5</v>
      </c>
      <c r="AC84" s="101">
        <f t="shared" si="97"/>
        <v>0</v>
      </c>
      <c r="AD84" s="101">
        <v>0</v>
      </c>
      <c r="AE84" s="101"/>
      <c r="AF84" s="101"/>
      <c r="AG84" s="101">
        <f t="shared" si="98"/>
        <v>0</v>
      </c>
      <c r="AH84" s="102">
        <v>0</v>
      </c>
      <c r="AI84" s="101">
        <f t="shared" si="99"/>
        <v>7.6271186440677967</v>
      </c>
      <c r="AJ84" s="101">
        <v>9</v>
      </c>
      <c r="AK84" s="101">
        <f t="shared" si="138"/>
        <v>0</v>
      </c>
      <c r="AL84" s="102">
        <v>0</v>
      </c>
      <c r="AM84" s="101">
        <f t="shared" si="101"/>
        <v>11.864406779661017</v>
      </c>
      <c r="AN84" s="101">
        <v>14</v>
      </c>
      <c r="AO84" s="101">
        <f t="shared" si="102"/>
        <v>0</v>
      </c>
      <c r="AP84" s="101">
        <f t="shared" si="122"/>
        <v>62.288135593220339</v>
      </c>
      <c r="AQ84" s="101">
        <f t="shared" si="128"/>
        <v>73.5</v>
      </c>
      <c r="AR84" s="102">
        <v>0</v>
      </c>
      <c r="AS84" s="101" t="s">
        <v>270</v>
      </c>
      <c r="AT84" s="103">
        <v>0</v>
      </c>
      <c r="AU84" s="103">
        <f t="shared" si="129"/>
        <v>5.0847457627118651</v>
      </c>
      <c r="AV84" s="103">
        <v>6</v>
      </c>
      <c r="AW84" s="103">
        <f t="shared" si="104"/>
        <v>0</v>
      </c>
      <c r="AX84" s="103">
        <f t="shared" si="103"/>
        <v>0</v>
      </c>
      <c r="AY84" s="104">
        <f t="shared" si="105"/>
        <v>62.288135593220339</v>
      </c>
      <c r="AZ84" s="105">
        <f t="shared" si="105"/>
        <v>73.5</v>
      </c>
      <c r="BA84" s="9"/>
      <c r="BB84" s="9"/>
      <c r="BC84" s="9"/>
      <c r="BD84" s="9"/>
      <c r="BE84" s="43"/>
      <c r="BF84" s="43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</row>
    <row r="85" spans="1:93" s="4" customFormat="1" ht="320.25" outlineLevel="1" x14ac:dyDescent="0.25">
      <c r="A85" s="97">
        <f t="shared" si="143"/>
        <v>68</v>
      </c>
      <c r="B85" s="98" t="s">
        <v>211</v>
      </c>
      <c r="C85" s="125" t="s">
        <v>102</v>
      </c>
      <c r="D85" s="99" t="s">
        <v>19</v>
      </c>
      <c r="E85" s="100">
        <f t="shared" si="126"/>
        <v>15.8</v>
      </c>
      <c r="F85" s="101">
        <v>0</v>
      </c>
      <c r="G85" s="101">
        <v>0</v>
      </c>
      <c r="H85" s="101">
        <v>0</v>
      </c>
      <c r="I85" s="101">
        <f t="shared" si="89"/>
        <v>0</v>
      </c>
      <c r="J85" s="100">
        <v>0</v>
      </c>
      <c r="K85" s="101">
        <f t="shared" si="87"/>
        <v>11.864406779661017</v>
      </c>
      <c r="L85" s="101">
        <v>14</v>
      </c>
      <c r="M85" s="101">
        <f t="shared" si="90"/>
        <v>0</v>
      </c>
      <c r="N85" s="102">
        <v>15.8</v>
      </c>
      <c r="O85" s="101">
        <f t="shared" si="91"/>
        <v>4.2372881355932206</v>
      </c>
      <c r="P85" s="101">
        <v>5</v>
      </c>
      <c r="Q85" s="101">
        <f t="shared" si="92"/>
        <v>79</v>
      </c>
      <c r="R85" s="100">
        <v>0</v>
      </c>
      <c r="S85" s="101">
        <f t="shared" si="93"/>
        <v>14.40677966101695</v>
      </c>
      <c r="T85" s="101">
        <v>17</v>
      </c>
      <c r="U85" s="101">
        <f t="shared" si="94"/>
        <v>0</v>
      </c>
      <c r="V85" s="101">
        <v>0</v>
      </c>
      <c r="W85" s="101">
        <f t="shared" ref="W85:W87" si="147">X85/1.18</f>
        <v>5.9322033898305087</v>
      </c>
      <c r="X85" s="101">
        <v>7</v>
      </c>
      <c r="Y85" s="101">
        <f t="shared" si="95"/>
        <v>0</v>
      </c>
      <c r="Z85" s="100">
        <v>0</v>
      </c>
      <c r="AA85" s="101">
        <f t="shared" si="96"/>
        <v>5.5084745762711869</v>
      </c>
      <c r="AB85" s="101">
        <v>6.5</v>
      </c>
      <c r="AC85" s="101">
        <f t="shared" si="97"/>
        <v>0</v>
      </c>
      <c r="AD85" s="101">
        <v>0</v>
      </c>
      <c r="AE85" s="101"/>
      <c r="AF85" s="101"/>
      <c r="AG85" s="101">
        <f t="shared" si="98"/>
        <v>0</v>
      </c>
      <c r="AH85" s="102">
        <v>0</v>
      </c>
      <c r="AI85" s="101">
        <f t="shared" si="99"/>
        <v>7.6271186440677967</v>
      </c>
      <c r="AJ85" s="101">
        <v>9</v>
      </c>
      <c r="AK85" s="101">
        <f t="shared" si="138"/>
        <v>0</v>
      </c>
      <c r="AL85" s="102">
        <v>0</v>
      </c>
      <c r="AM85" s="101">
        <f t="shared" si="101"/>
        <v>11.864406779661017</v>
      </c>
      <c r="AN85" s="101">
        <v>14</v>
      </c>
      <c r="AO85" s="101">
        <f t="shared" si="102"/>
        <v>0</v>
      </c>
      <c r="AP85" s="101">
        <f t="shared" si="122"/>
        <v>66.949152542372886</v>
      </c>
      <c r="AQ85" s="101">
        <f t="shared" si="128"/>
        <v>79</v>
      </c>
      <c r="AR85" s="102">
        <v>0</v>
      </c>
      <c r="AS85" s="101" t="s">
        <v>270</v>
      </c>
      <c r="AT85" s="103">
        <v>0</v>
      </c>
      <c r="AU85" s="103">
        <f t="shared" si="129"/>
        <v>5.0847457627118651</v>
      </c>
      <c r="AV85" s="103">
        <v>6</v>
      </c>
      <c r="AW85" s="103">
        <f t="shared" si="104"/>
        <v>0</v>
      </c>
      <c r="AX85" s="103">
        <f t="shared" si="103"/>
        <v>0</v>
      </c>
      <c r="AY85" s="104">
        <f t="shared" si="105"/>
        <v>66.949152542372886</v>
      </c>
      <c r="AZ85" s="105">
        <f t="shared" si="105"/>
        <v>79</v>
      </c>
      <c r="BA85" s="9"/>
      <c r="BB85" s="9"/>
      <c r="BC85" s="9"/>
      <c r="BD85" s="9"/>
      <c r="BE85" s="43"/>
      <c r="BF85" s="43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</row>
    <row r="86" spans="1:93" s="4" customFormat="1" ht="274.5" outlineLevel="1" x14ac:dyDescent="0.25">
      <c r="A86" s="97">
        <f t="shared" si="143"/>
        <v>69</v>
      </c>
      <c r="B86" s="98" t="s">
        <v>211</v>
      </c>
      <c r="C86" s="125" t="s">
        <v>103</v>
      </c>
      <c r="D86" s="99" t="s">
        <v>19</v>
      </c>
      <c r="E86" s="100">
        <f t="shared" si="126"/>
        <v>6.9</v>
      </c>
      <c r="F86" s="101">
        <v>0</v>
      </c>
      <c r="G86" s="101">
        <v>0</v>
      </c>
      <c r="H86" s="101">
        <v>0</v>
      </c>
      <c r="I86" s="101">
        <f t="shared" si="89"/>
        <v>0</v>
      </c>
      <c r="J86" s="100">
        <v>0</v>
      </c>
      <c r="K86" s="101">
        <f t="shared" si="87"/>
        <v>11.864406779661017</v>
      </c>
      <c r="L86" s="101">
        <v>14</v>
      </c>
      <c r="M86" s="101">
        <f t="shared" si="90"/>
        <v>0</v>
      </c>
      <c r="N86" s="102">
        <v>6.9</v>
      </c>
      <c r="O86" s="101">
        <f t="shared" si="91"/>
        <v>4.2372881355932206</v>
      </c>
      <c r="P86" s="101">
        <v>5</v>
      </c>
      <c r="Q86" s="101">
        <f t="shared" si="92"/>
        <v>34.5</v>
      </c>
      <c r="R86" s="100">
        <v>0</v>
      </c>
      <c r="S86" s="101">
        <f t="shared" si="93"/>
        <v>14.40677966101695</v>
      </c>
      <c r="T86" s="101">
        <v>17</v>
      </c>
      <c r="U86" s="101">
        <f t="shared" si="94"/>
        <v>0</v>
      </c>
      <c r="V86" s="101">
        <v>0</v>
      </c>
      <c r="W86" s="101">
        <f t="shared" si="147"/>
        <v>5.9322033898305087</v>
      </c>
      <c r="X86" s="101">
        <v>7</v>
      </c>
      <c r="Y86" s="101">
        <f t="shared" si="95"/>
        <v>0</v>
      </c>
      <c r="Z86" s="100">
        <v>0</v>
      </c>
      <c r="AA86" s="101">
        <f t="shared" si="96"/>
        <v>5.5084745762711869</v>
      </c>
      <c r="AB86" s="101">
        <v>6.5</v>
      </c>
      <c r="AC86" s="101">
        <f t="shared" si="97"/>
        <v>0</v>
      </c>
      <c r="AD86" s="101">
        <v>0</v>
      </c>
      <c r="AE86" s="101"/>
      <c r="AF86" s="101"/>
      <c r="AG86" s="101">
        <f t="shared" si="98"/>
        <v>0</v>
      </c>
      <c r="AH86" s="102">
        <v>0</v>
      </c>
      <c r="AI86" s="101">
        <f t="shared" si="99"/>
        <v>7.6271186440677967</v>
      </c>
      <c r="AJ86" s="101">
        <v>9</v>
      </c>
      <c r="AK86" s="101">
        <f t="shared" si="138"/>
        <v>0</v>
      </c>
      <c r="AL86" s="102">
        <v>0</v>
      </c>
      <c r="AM86" s="101">
        <f t="shared" si="101"/>
        <v>11.864406779661017</v>
      </c>
      <c r="AN86" s="101">
        <v>14</v>
      </c>
      <c r="AO86" s="101">
        <f t="shared" si="102"/>
        <v>0</v>
      </c>
      <c r="AP86" s="101">
        <f t="shared" si="122"/>
        <v>29.237288135593221</v>
      </c>
      <c r="AQ86" s="101">
        <f t="shared" si="128"/>
        <v>34.5</v>
      </c>
      <c r="AR86" s="102">
        <v>0</v>
      </c>
      <c r="AS86" s="101" t="s">
        <v>270</v>
      </c>
      <c r="AT86" s="103">
        <v>0</v>
      </c>
      <c r="AU86" s="103">
        <f t="shared" si="129"/>
        <v>5.0847457627118651</v>
      </c>
      <c r="AV86" s="103">
        <v>6</v>
      </c>
      <c r="AW86" s="103">
        <f t="shared" si="104"/>
        <v>0</v>
      </c>
      <c r="AX86" s="103">
        <f t="shared" si="103"/>
        <v>0</v>
      </c>
      <c r="AY86" s="104">
        <f t="shared" si="105"/>
        <v>29.237288135593221</v>
      </c>
      <c r="AZ86" s="105">
        <f t="shared" si="105"/>
        <v>34.5</v>
      </c>
      <c r="BA86" s="9"/>
      <c r="BB86" s="9"/>
      <c r="BC86" s="9"/>
      <c r="BD86" s="9"/>
      <c r="BE86" s="43"/>
      <c r="BF86" s="43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</row>
    <row r="87" spans="1:93" s="4" customFormat="1" ht="274.5" outlineLevel="1" x14ac:dyDescent="0.25">
      <c r="A87" s="97">
        <f t="shared" si="143"/>
        <v>70</v>
      </c>
      <c r="B87" s="98" t="s">
        <v>211</v>
      </c>
      <c r="C87" s="125" t="s">
        <v>187</v>
      </c>
      <c r="D87" s="99" t="s">
        <v>19</v>
      </c>
      <c r="E87" s="100">
        <f t="shared" si="126"/>
        <v>4</v>
      </c>
      <c r="F87" s="101">
        <v>0</v>
      </c>
      <c r="G87" s="101">
        <v>0</v>
      </c>
      <c r="H87" s="101">
        <v>0</v>
      </c>
      <c r="I87" s="101">
        <f t="shared" si="89"/>
        <v>0</v>
      </c>
      <c r="J87" s="100">
        <v>0</v>
      </c>
      <c r="K87" s="101">
        <f t="shared" si="87"/>
        <v>11.864406779661017</v>
      </c>
      <c r="L87" s="101">
        <v>14</v>
      </c>
      <c r="M87" s="101">
        <f t="shared" si="90"/>
        <v>0</v>
      </c>
      <c r="N87" s="102">
        <v>4</v>
      </c>
      <c r="O87" s="101">
        <f t="shared" si="91"/>
        <v>4.2372881355932206</v>
      </c>
      <c r="P87" s="101">
        <v>5</v>
      </c>
      <c r="Q87" s="101">
        <f t="shared" si="92"/>
        <v>20</v>
      </c>
      <c r="R87" s="100">
        <v>0</v>
      </c>
      <c r="S87" s="101">
        <f t="shared" si="93"/>
        <v>14.40677966101695</v>
      </c>
      <c r="T87" s="101">
        <v>17</v>
      </c>
      <c r="U87" s="101">
        <f t="shared" si="94"/>
        <v>0</v>
      </c>
      <c r="V87" s="101">
        <v>0</v>
      </c>
      <c r="W87" s="101">
        <f t="shared" si="147"/>
        <v>5.9322033898305087</v>
      </c>
      <c r="X87" s="101">
        <v>7</v>
      </c>
      <c r="Y87" s="101">
        <f t="shared" si="95"/>
        <v>0</v>
      </c>
      <c r="Z87" s="100">
        <v>0</v>
      </c>
      <c r="AA87" s="101">
        <f t="shared" si="96"/>
        <v>5.5084745762711869</v>
      </c>
      <c r="AB87" s="101">
        <v>6.5</v>
      </c>
      <c r="AC87" s="101">
        <f t="shared" si="97"/>
        <v>0</v>
      </c>
      <c r="AD87" s="101">
        <v>0</v>
      </c>
      <c r="AE87" s="101"/>
      <c r="AF87" s="101"/>
      <c r="AG87" s="101">
        <f t="shared" si="98"/>
        <v>0</v>
      </c>
      <c r="AH87" s="102">
        <v>0</v>
      </c>
      <c r="AI87" s="101">
        <f t="shared" si="99"/>
        <v>7.6271186440677967</v>
      </c>
      <c r="AJ87" s="101">
        <v>9</v>
      </c>
      <c r="AK87" s="101">
        <f t="shared" si="138"/>
        <v>0</v>
      </c>
      <c r="AL87" s="102">
        <v>0</v>
      </c>
      <c r="AM87" s="101">
        <f t="shared" si="101"/>
        <v>11.864406779661017</v>
      </c>
      <c r="AN87" s="101">
        <v>14</v>
      </c>
      <c r="AO87" s="101">
        <f t="shared" si="102"/>
        <v>0</v>
      </c>
      <c r="AP87" s="101">
        <f t="shared" si="122"/>
        <v>16.949152542372882</v>
      </c>
      <c r="AQ87" s="101">
        <f t="shared" si="128"/>
        <v>20</v>
      </c>
      <c r="AR87" s="102">
        <v>10</v>
      </c>
      <c r="AS87" s="101" t="s">
        <v>270</v>
      </c>
      <c r="AT87" s="103">
        <v>0</v>
      </c>
      <c r="AU87" s="103">
        <f t="shared" si="129"/>
        <v>5.0847457627118651</v>
      </c>
      <c r="AV87" s="103">
        <v>6</v>
      </c>
      <c r="AW87" s="103">
        <f t="shared" si="104"/>
        <v>50.847457627118651</v>
      </c>
      <c r="AX87" s="103">
        <f t="shared" si="103"/>
        <v>60</v>
      </c>
      <c r="AY87" s="104">
        <f t="shared" si="105"/>
        <v>67.79661016949153</v>
      </c>
      <c r="AZ87" s="105">
        <f t="shared" si="105"/>
        <v>80</v>
      </c>
      <c r="BA87" s="9"/>
      <c r="BB87" s="9"/>
      <c r="BC87" s="9"/>
      <c r="BD87" s="9"/>
      <c r="BE87" s="43"/>
      <c r="BF87" s="43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</row>
    <row r="88" spans="1:93" s="4" customFormat="1" ht="274.5" outlineLevel="1" x14ac:dyDescent="0.25">
      <c r="A88" s="97">
        <f t="shared" si="143"/>
        <v>71</v>
      </c>
      <c r="B88" s="98" t="s">
        <v>211</v>
      </c>
      <c r="C88" s="125" t="s">
        <v>104</v>
      </c>
      <c r="D88" s="99" t="s">
        <v>19</v>
      </c>
      <c r="E88" s="100">
        <f t="shared" si="126"/>
        <v>4.3</v>
      </c>
      <c r="F88" s="101">
        <v>0</v>
      </c>
      <c r="G88" s="101">
        <v>0</v>
      </c>
      <c r="H88" s="101">
        <v>0</v>
      </c>
      <c r="I88" s="101">
        <f t="shared" si="89"/>
        <v>0</v>
      </c>
      <c r="J88" s="100">
        <v>0</v>
      </c>
      <c r="K88" s="101">
        <f t="shared" si="87"/>
        <v>11.864406779661017</v>
      </c>
      <c r="L88" s="101">
        <v>14</v>
      </c>
      <c r="M88" s="101">
        <f t="shared" si="90"/>
        <v>0</v>
      </c>
      <c r="N88" s="102">
        <v>4.3</v>
      </c>
      <c r="O88" s="101">
        <f t="shared" si="91"/>
        <v>4.2372881355932206</v>
      </c>
      <c r="P88" s="101">
        <v>5</v>
      </c>
      <c r="Q88" s="101">
        <f t="shared" si="92"/>
        <v>21.5</v>
      </c>
      <c r="R88" s="100">
        <v>0</v>
      </c>
      <c r="S88" s="101">
        <f t="shared" si="93"/>
        <v>14.40677966101695</v>
      </c>
      <c r="T88" s="101">
        <v>17</v>
      </c>
      <c r="U88" s="101">
        <f t="shared" si="94"/>
        <v>0</v>
      </c>
      <c r="V88" s="101">
        <v>0</v>
      </c>
      <c r="W88" s="101">
        <v>4.2</v>
      </c>
      <c r="X88" s="101">
        <v>7</v>
      </c>
      <c r="Y88" s="101">
        <f t="shared" si="95"/>
        <v>0</v>
      </c>
      <c r="Z88" s="100">
        <v>0</v>
      </c>
      <c r="AA88" s="101">
        <f t="shared" si="96"/>
        <v>5.5084745762711869</v>
      </c>
      <c r="AB88" s="101">
        <v>6.5</v>
      </c>
      <c r="AC88" s="101">
        <f t="shared" si="97"/>
        <v>0</v>
      </c>
      <c r="AD88" s="101">
        <v>0</v>
      </c>
      <c r="AE88" s="101"/>
      <c r="AF88" s="101"/>
      <c r="AG88" s="101">
        <f t="shared" si="98"/>
        <v>0</v>
      </c>
      <c r="AH88" s="102">
        <v>0</v>
      </c>
      <c r="AI88" s="101">
        <f t="shared" si="99"/>
        <v>7.6271186440677967</v>
      </c>
      <c r="AJ88" s="101">
        <v>9</v>
      </c>
      <c r="AK88" s="101">
        <f t="shared" si="138"/>
        <v>0</v>
      </c>
      <c r="AL88" s="102">
        <v>0</v>
      </c>
      <c r="AM88" s="101">
        <f t="shared" si="101"/>
        <v>11.864406779661017</v>
      </c>
      <c r="AN88" s="101">
        <v>14</v>
      </c>
      <c r="AO88" s="101">
        <f t="shared" si="102"/>
        <v>0</v>
      </c>
      <c r="AP88" s="101">
        <f t="shared" si="122"/>
        <v>18.220338983050848</v>
      </c>
      <c r="AQ88" s="101">
        <f t="shared" si="128"/>
        <v>21.5</v>
      </c>
      <c r="AR88" s="102">
        <v>0</v>
      </c>
      <c r="AS88" s="101" t="s">
        <v>270</v>
      </c>
      <c r="AT88" s="103">
        <v>0</v>
      </c>
      <c r="AU88" s="103">
        <f t="shared" si="129"/>
        <v>5.0847457627118651</v>
      </c>
      <c r="AV88" s="103">
        <v>6</v>
      </c>
      <c r="AW88" s="103">
        <f t="shared" si="104"/>
        <v>0</v>
      </c>
      <c r="AX88" s="103">
        <f t="shared" si="103"/>
        <v>0</v>
      </c>
      <c r="AY88" s="104">
        <f t="shared" si="105"/>
        <v>18.220338983050848</v>
      </c>
      <c r="AZ88" s="105">
        <f t="shared" si="105"/>
        <v>21.5</v>
      </c>
      <c r="BA88" s="9"/>
      <c r="BB88" s="9"/>
      <c r="BC88" s="9"/>
      <c r="BD88" s="9"/>
      <c r="BE88" s="43"/>
      <c r="BF88" s="43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</row>
    <row r="89" spans="1:93" s="4" customFormat="1" ht="320.25" outlineLevel="1" x14ac:dyDescent="0.25">
      <c r="A89" s="97">
        <f t="shared" si="143"/>
        <v>72</v>
      </c>
      <c r="B89" s="98" t="s">
        <v>211</v>
      </c>
      <c r="C89" s="125" t="s">
        <v>105</v>
      </c>
      <c r="D89" s="99" t="s">
        <v>19</v>
      </c>
      <c r="E89" s="100">
        <f t="shared" si="126"/>
        <v>20.399999999999999</v>
      </c>
      <c r="F89" s="101">
        <v>0</v>
      </c>
      <c r="G89" s="101">
        <v>0</v>
      </c>
      <c r="H89" s="101">
        <v>0</v>
      </c>
      <c r="I89" s="101">
        <f t="shared" si="89"/>
        <v>0</v>
      </c>
      <c r="J89" s="100">
        <v>0</v>
      </c>
      <c r="K89" s="101">
        <f t="shared" si="87"/>
        <v>11.864406779661017</v>
      </c>
      <c r="L89" s="101">
        <v>14</v>
      </c>
      <c r="M89" s="101">
        <f t="shared" si="90"/>
        <v>0</v>
      </c>
      <c r="N89" s="102">
        <v>20.399999999999999</v>
      </c>
      <c r="O89" s="101">
        <f t="shared" si="91"/>
        <v>4.2372881355932206</v>
      </c>
      <c r="P89" s="101">
        <v>5</v>
      </c>
      <c r="Q89" s="101">
        <f t="shared" si="92"/>
        <v>102</v>
      </c>
      <c r="R89" s="100">
        <v>0</v>
      </c>
      <c r="S89" s="101">
        <f t="shared" si="93"/>
        <v>14.40677966101695</v>
      </c>
      <c r="T89" s="101">
        <v>17</v>
      </c>
      <c r="U89" s="101">
        <f t="shared" si="94"/>
        <v>0</v>
      </c>
      <c r="V89" s="101">
        <v>0</v>
      </c>
      <c r="W89" s="101">
        <f t="shared" ref="W89:W91" si="148">X89/1.18</f>
        <v>5.9322033898305087</v>
      </c>
      <c r="X89" s="101">
        <v>7</v>
      </c>
      <c r="Y89" s="101">
        <f t="shared" si="95"/>
        <v>0</v>
      </c>
      <c r="Z89" s="100">
        <v>0</v>
      </c>
      <c r="AA89" s="101">
        <f t="shared" si="96"/>
        <v>5.5084745762711869</v>
      </c>
      <c r="AB89" s="101">
        <v>6.5</v>
      </c>
      <c r="AC89" s="101">
        <f t="shared" si="97"/>
        <v>0</v>
      </c>
      <c r="AD89" s="101">
        <v>0</v>
      </c>
      <c r="AE89" s="101"/>
      <c r="AF89" s="101"/>
      <c r="AG89" s="101">
        <f t="shared" si="98"/>
        <v>0</v>
      </c>
      <c r="AH89" s="102">
        <v>0</v>
      </c>
      <c r="AI89" s="101">
        <f t="shared" si="99"/>
        <v>7.6271186440677967</v>
      </c>
      <c r="AJ89" s="101">
        <v>9</v>
      </c>
      <c r="AK89" s="101">
        <f t="shared" si="138"/>
        <v>0</v>
      </c>
      <c r="AL89" s="102">
        <v>0</v>
      </c>
      <c r="AM89" s="101">
        <f t="shared" si="101"/>
        <v>11.864406779661017</v>
      </c>
      <c r="AN89" s="101">
        <v>14</v>
      </c>
      <c r="AO89" s="101">
        <f t="shared" si="102"/>
        <v>0</v>
      </c>
      <c r="AP89" s="101">
        <f t="shared" si="122"/>
        <v>86.440677966101703</v>
      </c>
      <c r="AQ89" s="101">
        <f t="shared" si="128"/>
        <v>102</v>
      </c>
      <c r="AR89" s="102">
        <v>0</v>
      </c>
      <c r="AS89" s="101" t="s">
        <v>270</v>
      </c>
      <c r="AT89" s="103">
        <v>0</v>
      </c>
      <c r="AU89" s="103">
        <f t="shared" si="129"/>
        <v>5.0847457627118651</v>
      </c>
      <c r="AV89" s="103">
        <v>6</v>
      </c>
      <c r="AW89" s="103">
        <f t="shared" si="104"/>
        <v>0</v>
      </c>
      <c r="AX89" s="103">
        <f t="shared" si="103"/>
        <v>0</v>
      </c>
      <c r="AY89" s="104">
        <f t="shared" si="105"/>
        <v>86.440677966101703</v>
      </c>
      <c r="AZ89" s="105">
        <f t="shared" si="105"/>
        <v>102</v>
      </c>
      <c r="BA89" s="9"/>
      <c r="BB89" s="9"/>
      <c r="BC89" s="9"/>
      <c r="BD89" s="9"/>
      <c r="BE89" s="43"/>
      <c r="BF89" s="43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</row>
    <row r="90" spans="1:93" s="4" customFormat="1" ht="274.5" outlineLevel="1" x14ac:dyDescent="0.25">
      <c r="A90" s="97">
        <f t="shared" si="143"/>
        <v>73</v>
      </c>
      <c r="B90" s="98" t="s">
        <v>211</v>
      </c>
      <c r="C90" s="125" t="s">
        <v>106</v>
      </c>
      <c r="D90" s="99" t="s">
        <v>19</v>
      </c>
      <c r="E90" s="100">
        <f t="shared" si="126"/>
        <v>13.5</v>
      </c>
      <c r="F90" s="101">
        <v>0</v>
      </c>
      <c r="G90" s="101">
        <v>0</v>
      </c>
      <c r="H90" s="101">
        <v>0</v>
      </c>
      <c r="I90" s="101">
        <f t="shared" si="89"/>
        <v>0</v>
      </c>
      <c r="J90" s="100">
        <v>0</v>
      </c>
      <c r="K90" s="101">
        <f t="shared" si="87"/>
        <v>11.864406779661017</v>
      </c>
      <c r="L90" s="101">
        <v>14</v>
      </c>
      <c r="M90" s="101">
        <f t="shared" si="90"/>
        <v>0</v>
      </c>
      <c r="N90" s="102">
        <v>13.5</v>
      </c>
      <c r="O90" s="101">
        <f t="shared" si="91"/>
        <v>4.2372881355932206</v>
      </c>
      <c r="P90" s="101">
        <v>5</v>
      </c>
      <c r="Q90" s="101">
        <f t="shared" si="92"/>
        <v>67.5</v>
      </c>
      <c r="R90" s="100">
        <v>0</v>
      </c>
      <c r="S90" s="101">
        <f t="shared" si="93"/>
        <v>14.40677966101695</v>
      </c>
      <c r="T90" s="101">
        <v>17</v>
      </c>
      <c r="U90" s="101">
        <f t="shared" si="94"/>
        <v>0</v>
      </c>
      <c r="V90" s="101">
        <v>0</v>
      </c>
      <c r="W90" s="101">
        <f t="shared" si="148"/>
        <v>5.9322033898305087</v>
      </c>
      <c r="X90" s="101">
        <v>7</v>
      </c>
      <c r="Y90" s="101">
        <f t="shared" si="95"/>
        <v>0</v>
      </c>
      <c r="Z90" s="100">
        <v>0</v>
      </c>
      <c r="AA90" s="101">
        <f t="shared" si="96"/>
        <v>5.5084745762711869</v>
      </c>
      <c r="AB90" s="101">
        <v>6.5</v>
      </c>
      <c r="AC90" s="101">
        <f t="shared" si="97"/>
        <v>0</v>
      </c>
      <c r="AD90" s="101">
        <v>0</v>
      </c>
      <c r="AE90" s="101"/>
      <c r="AF90" s="101"/>
      <c r="AG90" s="101">
        <f t="shared" si="98"/>
        <v>0</v>
      </c>
      <c r="AH90" s="102">
        <v>0</v>
      </c>
      <c r="AI90" s="101">
        <f t="shared" si="99"/>
        <v>7.6271186440677967</v>
      </c>
      <c r="AJ90" s="101">
        <v>9</v>
      </c>
      <c r="AK90" s="101">
        <f t="shared" si="138"/>
        <v>0</v>
      </c>
      <c r="AL90" s="102">
        <v>0</v>
      </c>
      <c r="AM90" s="101">
        <f t="shared" si="101"/>
        <v>11.864406779661017</v>
      </c>
      <c r="AN90" s="101">
        <v>14</v>
      </c>
      <c r="AO90" s="101">
        <f t="shared" si="102"/>
        <v>0</v>
      </c>
      <c r="AP90" s="101">
        <f t="shared" si="122"/>
        <v>57.203389830508478</v>
      </c>
      <c r="AQ90" s="101">
        <f t="shared" si="128"/>
        <v>67.5</v>
      </c>
      <c r="AR90" s="102">
        <v>0</v>
      </c>
      <c r="AS90" s="101" t="s">
        <v>270</v>
      </c>
      <c r="AT90" s="103">
        <v>0</v>
      </c>
      <c r="AU90" s="103">
        <f t="shared" si="129"/>
        <v>5.0847457627118651</v>
      </c>
      <c r="AV90" s="103">
        <v>6</v>
      </c>
      <c r="AW90" s="103">
        <f t="shared" si="104"/>
        <v>0</v>
      </c>
      <c r="AX90" s="103">
        <f t="shared" si="103"/>
        <v>0</v>
      </c>
      <c r="AY90" s="104">
        <f t="shared" si="105"/>
        <v>57.203389830508478</v>
      </c>
      <c r="AZ90" s="105">
        <f t="shared" si="105"/>
        <v>67.5</v>
      </c>
      <c r="BA90" s="9"/>
      <c r="BB90" s="9"/>
      <c r="BC90" s="9"/>
      <c r="BD90" s="9"/>
      <c r="BE90" s="43"/>
      <c r="BF90" s="43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</row>
    <row r="91" spans="1:93" s="4" customFormat="1" ht="274.5" outlineLevel="1" x14ac:dyDescent="0.25">
      <c r="A91" s="97">
        <f t="shared" si="143"/>
        <v>74</v>
      </c>
      <c r="B91" s="98" t="s">
        <v>211</v>
      </c>
      <c r="C91" s="125" t="s">
        <v>107</v>
      </c>
      <c r="D91" s="99" t="s">
        <v>19</v>
      </c>
      <c r="E91" s="100">
        <f t="shared" si="126"/>
        <v>39.799999999999997</v>
      </c>
      <c r="F91" s="101">
        <v>0</v>
      </c>
      <c r="G91" s="101">
        <v>0</v>
      </c>
      <c r="H91" s="101">
        <v>0</v>
      </c>
      <c r="I91" s="101">
        <f t="shared" si="89"/>
        <v>0</v>
      </c>
      <c r="J91" s="100">
        <v>0</v>
      </c>
      <c r="K91" s="101">
        <f t="shared" si="87"/>
        <v>11.864406779661017</v>
      </c>
      <c r="L91" s="101">
        <v>14</v>
      </c>
      <c r="M91" s="101">
        <f t="shared" si="90"/>
        <v>0</v>
      </c>
      <c r="N91" s="102">
        <v>39.799999999999997</v>
      </c>
      <c r="O91" s="101">
        <f t="shared" si="91"/>
        <v>4.2372881355932206</v>
      </c>
      <c r="P91" s="101">
        <v>5</v>
      </c>
      <c r="Q91" s="101">
        <f t="shared" si="92"/>
        <v>199</v>
      </c>
      <c r="R91" s="100">
        <v>0</v>
      </c>
      <c r="S91" s="101">
        <f t="shared" si="93"/>
        <v>14.40677966101695</v>
      </c>
      <c r="T91" s="101">
        <v>17</v>
      </c>
      <c r="U91" s="101">
        <f t="shared" si="94"/>
        <v>0</v>
      </c>
      <c r="V91" s="101">
        <v>0</v>
      </c>
      <c r="W91" s="101">
        <f t="shared" si="148"/>
        <v>5.9322033898305087</v>
      </c>
      <c r="X91" s="101">
        <v>7</v>
      </c>
      <c r="Y91" s="101">
        <f t="shared" si="95"/>
        <v>0</v>
      </c>
      <c r="Z91" s="100">
        <v>0</v>
      </c>
      <c r="AA91" s="101">
        <f t="shared" si="96"/>
        <v>5.5084745762711869</v>
      </c>
      <c r="AB91" s="101">
        <v>6.5</v>
      </c>
      <c r="AC91" s="101">
        <f t="shared" si="97"/>
        <v>0</v>
      </c>
      <c r="AD91" s="101">
        <v>0</v>
      </c>
      <c r="AE91" s="101"/>
      <c r="AF91" s="101"/>
      <c r="AG91" s="101">
        <f t="shared" si="98"/>
        <v>0</v>
      </c>
      <c r="AH91" s="102">
        <v>0</v>
      </c>
      <c r="AI91" s="101">
        <f t="shared" si="99"/>
        <v>7.6271186440677967</v>
      </c>
      <c r="AJ91" s="101">
        <v>9</v>
      </c>
      <c r="AK91" s="101">
        <f t="shared" si="138"/>
        <v>0</v>
      </c>
      <c r="AL91" s="102">
        <v>0</v>
      </c>
      <c r="AM91" s="101">
        <f t="shared" si="101"/>
        <v>11.864406779661017</v>
      </c>
      <c r="AN91" s="101">
        <v>14</v>
      </c>
      <c r="AO91" s="101">
        <f t="shared" si="102"/>
        <v>0</v>
      </c>
      <c r="AP91" s="101">
        <f t="shared" si="122"/>
        <v>168.64406779661019</v>
      </c>
      <c r="AQ91" s="101">
        <f t="shared" si="128"/>
        <v>199</v>
      </c>
      <c r="AR91" s="102">
        <f>5.2+539.7</f>
        <v>544.90000000000009</v>
      </c>
      <c r="AS91" s="101" t="s">
        <v>270</v>
      </c>
      <c r="AT91" s="103">
        <v>0</v>
      </c>
      <c r="AU91" s="103">
        <f t="shared" si="129"/>
        <v>5.0847457627118651</v>
      </c>
      <c r="AV91" s="103">
        <v>6</v>
      </c>
      <c r="AW91" s="103">
        <f t="shared" si="104"/>
        <v>2770.6779661016958</v>
      </c>
      <c r="AX91" s="103">
        <f t="shared" si="103"/>
        <v>3269.4000000000005</v>
      </c>
      <c r="AY91" s="104">
        <f t="shared" si="105"/>
        <v>2939.322033898306</v>
      </c>
      <c r="AZ91" s="105">
        <f t="shared" si="105"/>
        <v>3468.4000000000005</v>
      </c>
      <c r="BA91" s="9"/>
      <c r="BB91" s="9"/>
      <c r="BC91" s="9"/>
      <c r="BD91" s="9"/>
      <c r="BE91" s="43"/>
      <c r="BF91" s="43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</row>
    <row r="92" spans="1:93" s="5" customFormat="1" ht="45.75" outlineLevel="1" x14ac:dyDescent="0.25">
      <c r="A92" s="145" t="s">
        <v>62</v>
      </c>
      <c r="B92" s="146"/>
      <c r="C92" s="146"/>
      <c r="D92" s="120"/>
      <c r="E92" s="100"/>
      <c r="F92" s="120"/>
      <c r="G92" s="101">
        <v>0</v>
      </c>
      <c r="H92" s="101">
        <v>0</v>
      </c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07"/>
      <c r="AQ92" s="107"/>
      <c r="AR92" s="120"/>
      <c r="AS92" s="101"/>
      <c r="AT92" s="120"/>
      <c r="AU92" s="120"/>
      <c r="AV92" s="120"/>
      <c r="AW92" s="120"/>
      <c r="AX92" s="120"/>
      <c r="AY92" s="107"/>
      <c r="AZ92" s="108"/>
      <c r="BA92" s="9"/>
      <c r="BB92" s="9"/>
      <c r="BC92" s="9"/>
      <c r="BD92" s="9"/>
      <c r="BE92" s="9"/>
      <c r="BF92" s="9"/>
    </row>
    <row r="93" spans="1:93" s="4" customFormat="1" ht="320.25" outlineLevel="1" x14ac:dyDescent="0.25">
      <c r="A93" s="97">
        <f>A91+1</f>
        <v>75</v>
      </c>
      <c r="B93" s="121" t="s">
        <v>213</v>
      </c>
      <c r="C93" s="125" t="s">
        <v>108</v>
      </c>
      <c r="D93" s="99" t="s">
        <v>19</v>
      </c>
      <c r="E93" s="100">
        <f>F93+J93+N93+R93+V93+Z93+AD93+AH93+AL93</f>
        <v>254.20000000000002</v>
      </c>
      <c r="F93" s="101">
        <v>0</v>
      </c>
      <c r="G93" s="101">
        <v>0</v>
      </c>
      <c r="H93" s="101">
        <v>0</v>
      </c>
      <c r="I93" s="101">
        <f t="shared" si="89"/>
        <v>0</v>
      </c>
      <c r="J93" s="100">
        <f>89.6</f>
        <v>89.6</v>
      </c>
      <c r="K93" s="101">
        <f t="shared" si="87"/>
        <v>11.864406779661017</v>
      </c>
      <c r="L93" s="101">
        <v>14</v>
      </c>
      <c r="M93" s="101">
        <f t="shared" si="90"/>
        <v>1254.3999999999999</v>
      </c>
      <c r="N93" s="102">
        <v>32.4</v>
      </c>
      <c r="O93" s="101">
        <f t="shared" si="91"/>
        <v>4.2372881355932206</v>
      </c>
      <c r="P93" s="101">
        <v>5</v>
      </c>
      <c r="Q93" s="101">
        <f t="shared" si="92"/>
        <v>162</v>
      </c>
      <c r="R93" s="100">
        <v>30.8</v>
      </c>
      <c r="S93" s="101">
        <f t="shared" si="93"/>
        <v>14.40677966101695</v>
      </c>
      <c r="T93" s="101">
        <v>17</v>
      </c>
      <c r="U93" s="101">
        <f t="shared" si="94"/>
        <v>523.6</v>
      </c>
      <c r="V93" s="101">
        <v>13.8</v>
      </c>
      <c r="W93" s="101">
        <f t="shared" ref="W93:W95" si="149">X93/1.18</f>
        <v>5.9322033898305087</v>
      </c>
      <c r="X93" s="101">
        <v>7</v>
      </c>
      <c r="Y93" s="101">
        <f t="shared" si="95"/>
        <v>96.600000000000009</v>
      </c>
      <c r="Z93" s="100">
        <f>61.9+16.1+4.6</f>
        <v>82.6</v>
      </c>
      <c r="AA93" s="101">
        <f t="shared" si="96"/>
        <v>5.5084745762711869</v>
      </c>
      <c r="AB93" s="101">
        <v>6.5</v>
      </c>
      <c r="AC93" s="101">
        <f t="shared" si="97"/>
        <v>536.9</v>
      </c>
      <c r="AD93" s="101">
        <v>0</v>
      </c>
      <c r="AE93" s="101"/>
      <c r="AF93" s="101"/>
      <c r="AG93" s="101">
        <f t="shared" si="98"/>
        <v>0</v>
      </c>
      <c r="AH93" s="102">
        <v>0</v>
      </c>
      <c r="AI93" s="101">
        <f t="shared" si="99"/>
        <v>7.6271186440677967</v>
      </c>
      <c r="AJ93" s="101">
        <v>9</v>
      </c>
      <c r="AK93" s="101">
        <f t="shared" si="100"/>
        <v>0</v>
      </c>
      <c r="AL93" s="102">
        <v>5</v>
      </c>
      <c r="AM93" s="101">
        <f t="shared" si="101"/>
        <v>11.864406779661017</v>
      </c>
      <c r="AN93" s="101">
        <v>14</v>
      </c>
      <c r="AO93" s="101">
        <f t="shared" si="102"/>
        <v>70</v>
      </c>
      <c r="AP93" s="101">
        <f t="shared" si="122"/>
        <v>2240.2542372881358</v>
      </c>
      <c r="AQ93" s="101">
        <f>I93+M93+Q93+U93+Y93+AC93+AG93+AK93+AO93</f>
        <v>2643.5</v>
      </c>
      <c r="AR93" s="102">
        <v>30</v>
      </c>
      <c r="AS93" s="101" t="s">
        <v>270</v>
      </c>
      <c r="AT93" s="103">
        <v>0</v>
      </c>
      <c r="AU93" s="103">
        <f t="shared" si="129"/>
        <v>5.0847457627118651</v>
      </c>
      <c r="AV93" s="103">
        <v>6</v>
      </c>
      <c r="AW93" s="103">
        <f t="shared" si="104"/>
        <v>152.54237288135596</v>
      </c>
      <c r="AX93" s="103">
        <f t="shared" si="103"/>
        <v>180</v>
      </c>
      <c r="AY93" s="104">
        <f t="shared" si="105"/>
        <v>2392.7966101694919</v>
      </c>
      <c r="AZ93" s="105">
        <f t="shared" si="105"/>
        <v>2823.5</v>
      </c>
      <c r="BA93" s="9"/>
      <c r="BB93" s="9"/>
      <c r="BC93" s="9"/>
      <c r="BD93" s="9"/>
      <c r="BE93" s="43"/>
      <c r="BF93" s="43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</row>
    <row r="94" spans="1:93" s="4" customFormat="1" ht="274.5" outlineLevel="1" x14ac:dyDescent="0.25">
      <c r="A94" s="97">
        <f>A93+1</f>
        <v>76</v>
      </c>
      <c r="B94" s="98" t="s">
        <v>213</v>
      </c>
      <c r="C94" s="125" t="s">
        <v>109</v>
      </c>
      <c r="D94" s="99" t="s">
        <v>19</v>
      </c>
      <c r="E94" s="100">
        <f>F94+J94+N94+R94+V94+Z94+AD94+AH94+AL94</f>
        <v>114.7</v>
      </c>
      <c r="F94" s="101">
        <v>0</v>
      </c>
      <c r="G94" s="101">
        <v>0</v>
      </c>
      <c r="H94" s="101">
        <v>0</v>
      </c>
      <c r="I94" s="101">
        <f t="shared" si="89"/>
        <v>0</v>
      </c>
      <c r="J94" s="100">
        <v>35.200000000000003</v>
      </c>
      <c r="K94" s="101">
        <f t="shared" si="87"/>
        <v>11.864406779661017</v>
      </c>
      <c r="L94" s="101">
        <v>14</v>
      </c>
      <c r="M94" s="101">
        <f t="shared" si="90"/>
        <v>492.80000000000007</v>
      </c>
      <c r="N94" s="102">
        <v>0</v>
      </c>
      <c r="O94" s="101">
        <f t="shared" si="91"/>
        <v>4.2372881355932206</v>
      </c>
      <c r="P94" s="101">
        <v>5</v>
      </c>
      <c r="Q94" s="101">
        <f t="shared" si="92"/>
        <v>0</v>
      </c>
      <c r="R94" s="100">
        <v>44</v>
      </c>
      <c r="S94" s="101">
        <f t="shared" si="93"/>
        <v>14.40677966101695</v>
      </c>
      <c r="T94" s="101">
        <v>17</v>
      </c>
      <c r="U94" s="101">
        <f t="shared" si="94"/>
        <v>748</v>
      </c>
      <c r="V94" s="101">
        <v>13.1</v>
      </c>
      <c r="W94" s="101">
        <f t="shared" si="149"/>
        <v>5.9322033898305087</v>
      </c>
      <c r="X94" s="101">
        <v>7</v>
      </c>
      <c r="Y94" s="101">
        <f t="shared" si="95"/>
        <v>91.7</v>
      </c>
      <c r="Z94" s="100">
        <f>20</f>
        <v>20</v>
      </c>
      <c r="AA94" s="101">
        <f t="shared" si="96"/>
        <v>5.5084745762711869</v>
      </c>
      <c r="AB94" s="101">
        <v>6.5</v>
      </c>
      <c r="AC94" s="101">
        <f t="shared" si="97"/>
        <v>130</v>
      </c>
      <c r="AD94" s="101">
        <v>0</v>
      </c>
      <c r="AE94" s="101"/>
      <c r="AF94" s="101"/>
      <c r="AG94" s="101">
        <f t="shared" si="98"/>
        <v>0</v>
      </c>
      <c r="AH94" s="102">
        <v>0</v>
      </c>
      <c r="AI94" s="101">
        <f t="shared" si="99"/>
        <v>7.6271186440677967</v>
      </c>
      <c r="AJ94" s="101">
        <v>9</v>
      </c>
      <c r="AK94" s="101">
        <f t="shared" si="100"/>
        <v>0</v>
      </c>
      <c r="AL94" s="102">
        <v>2.4</v>
      </c>
      <c r="AM94" s="101">
        <f t="shared" si="101"/>
        <v>11.864406779661017</v>
      </c>
      <c r="AN94" s="101">
        <v>14</v>
      </c>
      <c r="AO94" s="101">
        <f t="shared" si="102"/>
        <v>33.6</v>
      </c>
      <c r="AP94" s="101">
        <f t="shared" si="122"/>
        <v>1267.8813559322036</v>
      </c>
      <c r="AQ94" s="101">
        <f>I94+M94+Q94+U94+Y94+AC94+AG94+AK94+AO94</f>
        <v>1496.1000000000001</v>
      </c>
      <c r="AR94" s="102">
        <v>0</v>
      </c>
      <c r="AS94" s="101" t="s">
        <v>270</v>
      </c>
      <c r="AT94" s="103">
        <v>0</v>
      </c>
      <c r="AU94" s="103">
        <f t="shared" si="129"/>
        <v>5.0847457627118651</v>
      </c>
      <c r="AV94" s="103">
        <v>6</v>
      </c>
      <c r="AW94" s="103">
        <f t="shared" si="104"/>
        <v>0</v>
      </c>
      <c r="AX94" s="103">
        <f t="shared" si="103"/>
        <v>0</v>
      </c>
      <c r="AY94" s="104">
        <f t="shared" si="105"/>
        <v>1267.8813559322036</v>
      </c>
      <c r="AZ94" s="105">
        <f t="shared" si="105"/>
        <v>1496.1000000000001</v>
      </c>
      <c r="BA94" s="9"/>
      <c r="BB94" s="9"/>
      <c r="BC94" s="9"/>
      <c r="BD94" s="9"/>
      <c r="BE94" s="43"/>
      <c r="BF94" s="43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</row>
    <row r="95" spans="1:93" s="4" customFormat="1" ht="274.5" outlineLevel="1" x14ac:dyDescent="0.25">
      <c r="A95" s="97">
        <f t="shared" ref="A95:A97" si="150">A94+1</f>
        <v>77</v>
      </c>
      <c r="B95" s="98" t="s">
        <v>213</v>
      </c>
      <c r="C95" s="125" t="s">
        <v>110</v>
      </c>
      <c r="D95" s="99" t="s">
        <v>19</v>
      </c>
      <c r="E95" s="100">
        <f>F95+J95+N95+R95+V95+Z95+AD95+AH95+AL95</f>
        <v>123.49999999999999</v>
      </c>
      <c r="F95" s="101">
        <v>0</v>
      </c>
      <c r="G95" s="101">
        <v>0</v>
      </c>
      <c r="H95" s="101">
        <v>0</v>
      </c>
      <c r="I95" s="101">
        <f t="shared" si="89"/>
        <v>0</v>
      </c>
      <c r="J95" s="100">
        <v>0</v>
      </c>
      <c r="K95" s="101">
        <f t="shared" si="87"/>
        <v>11.864406779661017</v>
      </c>
      <c r="L95" s="101">
        <v>14</v>
      </c>
      <c r="M95" s="101">
        <f t="shared" si="90"/>
        <v>0</v>
      </c>
      <c r="N95" s="102">
        <v>74.599999999999994</v>
      </c>
      <c r="O95" s="101">
        <f t="shared" si="91"/>
        <v>4.2372881355932206</v>
      </c>
      <c r="P95" s="101">
        <v>5</v>
      </c>
      <c r="Q95" s="101">
        <f t="shared" si="92"/>
        <v>373</v>
      </c>
      <c r="R95" s="100">
        <v>0</v>
      </c>
      <c r="S95" s="101">
        <f t="shared" si="93"/>
        <v>14.40677966101695</v>
      </c>
      <c r="T95" s="101">
        <v>17</v>
      </c>
      <c r="U95" s="101">
        <f t="shared" si="94"/>
        <v>0</v>
      </c>
      <c r="V95" s="101">
        <v>23.7</v>
      </c>
      <c r="W95" s="101">
        <f t="shared" si="149"/>
        <v>5.9322033898305087</v>
      </c>
      <c r="X95" s="101">
        <v>7</v>
      </c>
      <c r="Y95" s="101">
        <f t="shared" si="95"/>
        <v>165.9</v>
      </c>
      <c r="Z95" s="100">
        <v>23.4</v>
      </c>
      <c r="AA95" s="101">
        <f t="shared" si="96"/>
        <v>5.5084745762711869</v>
      </c>
      <c r="AB95" s="101">
        <v>6.5</v>
      </c>
      <c r="AC95" s="101">
        <f t="shared" si="97"/>
        <v>152.1</v>
      </c>
      <c r="AD95" s="101">
        <v>0</v>
      </c>
      <c r="AE95" s="101"/>
      <c r="AF95" s="101"/>
      <c r="AG95" s="101">
        <f t="shared" si="98"/>
        <v>0</v>
      </c>
      <c r="AH95" s="102">
        <v>0</v>
      </c>
      <c r="AI95" s="101">
        <f t="shared" si="99"/>
        <v>7.6271186440677967</v>
      </c>
      <c r="AJ95" s="101">
        <v>9</v>
      </c>
      <c r="AK95" s="101">
        <f t="shared" si="100"/>
        <v>0</v>
      </c>
      <c r="AL95" s="102">
        <v>1.8</v>
      </c>
      <c r="AM95" s="101">
        <f t="shared" si="101"/>
        <v>11.864406779661017</v>
      </c>
      <c r="AN95" s="101">
        <v>14</v>
      </c>
      <c r="AO95" s="101">
        <f t="shared" si="102"/>
        <v>25.2</v>
      </c>
      <c r="AP95" s="101">
        <f t="shared" si="122"/>
        <v>606.94915254237299</v>
      </c>
      <c r="AQ95" s="101">
        <f>I95+M95+Q95+U95+Y95+AC95+AG95+AK95+AO95</f>
        <v>716.2</v>
      </c>
      <c r="AR95" s="102">
        <v>0</v>
      </c>
      <c r="AS95" s="101" t="s">
        <v>270</v>
      </c>
      <c r="AT95" s="103">
        <v>0</v>
      </c>
      <c r="AU95" s="103">
        <f t="shared" si="129"/>
        <v>5.0847457627118651</v>
      </c>
      <c r="AV95" s="103">
        <v>6</v>
      </c>
      <c r="AW95" s="103">
        <f t="shared" si="104"/>
        <v>0</v>
      </c>
      <c r="AX95" s="103">
        <f t="shared" si="103"/>
        <v>0</v>
      </c>
      <c r="AY95" s="104">
        <f t="shared" si="105"/>
        <v>606.94915254237299</v>
      </c>
      <c r="AZ95" s="105">
        <f t="shared" si="105"/>
        <v>716.2</v>
      </c>
      <c r="BA95" s="9"/>
      <c r="BB95" s="9"/>
      <c r="BC95" s="9"/>
      <c r="BD95" s="9"/>
      <c r="BE95" s="43"/>
      <c r="BF95" s="43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</row>
    <row r="96" spans="1:93" s="4" customFormat="1" ht="274.5" outlineLevel="1" x14ac:dyDescent="0.25">
      <c r="A96" s="97">
        <f t="shared" si="150"/>
        <v>78</v>
      </c>
      <c r="B96" s="98" t="s">
        <v>211</v>
      </c>
      <c r="C96" s="125" t="s">
        <v>184</v>
      </c>
      <c r="D96" s="99" t="s">
        <v>19</v>
      </c>
      <c r="E96" s="100">
        <f>F96+J96+N96+R96+V96+Z96+AD96+AH96+AL96</f>
        <v>713.50000000000011</v>
      </c>
      <c r="F96" s="101">
        <v>0</v>
      </c>
      <c r="G96" s="101">
        <v>0</v>
      </c>
      <c r="H96" s="101">
        <v>0</v>
      </c>
      <c r="I96" s="101">
        <f t="shared" si="89"/>
        <v>0</v>
      </c>
      <c r="J96" s="100">
        <v>238</v>
      </c>
      <c r="K96" s="101">
        <f t="shared" si="87"/>
        <v>11.864406779661017</v>
      </c>
      <c r="L96" s="101">
        <v>14</v>
      </c>
      <c r="M96" s="101">
        <f t="shared" si="90"/>
        <v>3332</v>
      </c>
      <c r="N96" s="102">
        <v>89.2</v>
      </c>
      <c r="O96" s="101">
        <f t="shared" si="91"/>
        <v>4.2372881355932206</v>
      </c>
      <c r="P96" s="101">
        <v>5</v>
      </c>
      <c r="Q96" s="101">
        <f t="shared" si="92"/>
        <v>446</v>
      </c>
      <c r="R96" s="100">
        <v>31.4</v>
      </c>
      <c r="S96" s="101">
        <f t="shared" si="93"/>
        <v>14.40677966101695</v>
      </c>
      <c r="T96" s="101">
        <v>17</v>
      </c>
      <c r="U96" s="101">
        <f t="shared" si="94"/>
        <v>533.79999999999995</v>
      </c>
      <c r="V96" s="101">
        <v>63.1</v>
      </c>
      <c r="W96" s="101">
        <v>4.2</v>
      </c>
      <c r="X96" s="101">
        <v>7</v>
      </c>
      <c r="Y96" s="101">
        <f t="shared" si="95"/>
        <v>441.7</v>
      </c>
      <c r="Z96" s="100">
        <f>26.4+40.8+90+9.8</f>
        <v>167</v>
      </c>
      <c r="AA96" s="101">
        <f t="shared" si="96"/>
        <v>5.5084745762711869</v>
      </c>
      <c r="AB96" s="101">
        <v>6.5</v>
      </c>
      <c r="AC96" s="101">
        <f t="shared" si="97"/>
        <v>1085.5</v>
      </c>
      <c r="AD96" s="101">
        <v>0</v>
      </c>
      <c r="AE96" s="101"/>
      <c r="AF96" s="101"/>
      <c r="AG96" s="101">
        <f t="shared" si="98"/>
        <v>0</v>
      </c>
      <c r="AH96" s="102">
        <v>111.6</v>
      </c>
      <c r="AI96" s="101">
        <f t="shared" si="99"/>
        <v>7.6271186440677967</v>
      </c>
      <c r="AJ96" s="101">
        <v>9</v>
      </c>
      <c r="AK96" s="101">
        <f t="shared" si="100"/>
        <v>1004.4</v>
      </c>
      <c r="AL96" s="102">
        <v>13.2</v>
      </c>
      <c r="AM96" s="101">
        <f t="shared" si="101"/>
        <v>11.864406779661017</v>
      </c>
      <c r="AN96" s="101">
        <v>14</v>
      </c>
      <c r="AO96" s="101">
        <f t="shared" si="102"/>
        <v>184.79999999999998</v>
      </c>
      <c r="AP96" s="101">
        <f t="shared" si="122"/>
        <v>5956.1016949152545</v>
      </c>
      <c r="AQ96" s="101">
        <f>I96+M96+Q96+U96+Y96+AC96+AG96+AK96+AO96</f>
        <v>7028.2</v>
      </c>
      <c r="AR96" s="102">
        <v>600</v>
      </c>
      <c r="AS96" s="101" t="s">
        <v>270</v>
      </c>
      <c r="AT96" s="103">
        <v>0</v>
      </c>
      <c r="AU96" s="103">
        <f t="shared" si="129"/>
        <v>5.0847457627118651</v>
      </c>
      <c r="AV96" s="103">
        <v>6</v>
      </c>
      <c r="AW96" s="103">
        <f t="shared" si="104"/>
        <v>3050.8474576271192</v>
      </c>
      <c r="AX96" s="103">
        <f t="shared" si="103"/>
        <v>3600</v>
      </c>
      <c r="AY96" s="104">
        <f t="shared" si="105"/>
        <v>9006.9491525423728</v>
      </c>
      <c r="AZ96" s="105">
        <f t="shared" si="105"/>
        <v>10628.2</v>
      </c>
      <c r="BA96" s="9"/>
      <c r="BB96" s="9"/>
      <c r="BC96" s="9"/>
      <c r="BD96" s="9"/>
      <c r="BE96" s="43"/>
      <c r="BF96" s="43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</row>
    <row r="97" spans="1:93" s="4" customFormat="1" ht="320.25" outlineLevel="1" x14ac:dyDescent="0.25">
      <c r="A97" s="97">
        <f t="shared" si="150"/>
        <v>79</v>
      </c>
      <c r="B97" s="98" t="s">
        <v>211</v>
      </c>
      <c r="C97" s="125" t="s">
        <v>185</v>
      </c>
      <c r="D97" s="99" t="s">
        <v>19</v>
      </c>
      <c r="E97" s="100">
        <f>F97+J97+N97+R97+V97+Z97+AD97+AH97+AL97</f>
        <v>577.30000000000007</v>
      </c>
      <c r="F97" s="101">
        <v>0</v>
      </c>
      <c r="G97" s="101">
        <v>0</v>
      </c>
      <c r="H97" s="101">
        <v>0</v>
      </c>
      <c r="I97" s="101">
        <f t="shared" si="89"/>
        <v>0</v>
      </c>
      <c r="J97" s="100">
        <v>140.80000000000001</v>
      </c>
      <c r="K97" s="101">
        <f t="shared" si="87"/>
        <v>11.864406779661017</v>
      </c>
      <c r="L97" s="101">
        <v>14</v>
      </c>
      <c r="M97" s="101">
        <f t="shared" si="90"/>
        <v>1971.2000000000003</v>
      </c>
      <c r="N97" s="102">
        <v>90.5</v>
      </c>
      <c r="O97" s="101">
        <f t="shared" si="91"/>
        <v>4.2372881355932206</v>
      </c>
      <c r="P97" s="101">
        <v>5</v>
      </c>
      <c r="Q97" s="101">
        <f t="shared" si="92"/>
        <v>452.5</v>
      </c>
      <c r="R97" s="100">
        <v>24.4</v>
      </c>
      <c r="S97" s="101">
        <f t="shared" si="93"/>
        <v>14.40677966101695</v>
      </c>
      <c r="T97" s="101">
        <v>17</v>
      </c>
      <c r="U97" s="101">
        <f t="shared" si="94"/>
        <v>414.79999999999995</v>
      </c>
      <c r="V97" s="101">
        <v>36.700000000000003</v>
      </c>
      <c r="W97" s="101">
        <f t="shared" ref="W97" si="151">X97/1.18</f>
        <v>5.9322033898305087</v>
      </c>
      <c r="X97" s="101">
        <v>7</v>
      </c>
      <c r="Y97" s="101">
        <f t="shared" si="95"/>
        <v>256.90000000000003</v>
      </c>
      <c r="Z97" s="100">
        <v>72.8</v>
      </c>
      <c r="AA97" s="101">
        <f t="shared" si="96"/>
        <v>5.5084745762711869</v>
      </c>
      <c r="AB97" s="101">
        <v>6.5</v>
      </c>
      <c r="AC97" s="101">
        <f t="shared" si="97"/>
        <v>473.2</v>
      </c>
      <c r="AD97" s="101">
        <v>0</v>
      </c>
      <c r="AE97" s="101"/>
      <c r="AF97" s="101"/>
      <c r="AG97" s="101">
        <f t="shared" si="98"/>
        <v>0</v>
      </c>
      <c r="AH97" s="102">
        <v>209.1</v>
      </c>
      <c r="AI97" s="101">
        <f t="shared" si="99"/>
        <v>7.6271186440677967</v>
      </c>
      <c r="AJ97" s="101">
        <v>9</v>
      </c>
      <c r="AK97" s="101">
        <f t="shared" si="100"/>
        <v>1881.8999999999999</v>
      </c>
      <c r="AL97" s="102">
        <v>3</v>
      </c>
      <c r="AM97" s="101">
        <f t="shared" si="101"/>
        <v>11.864406779661017</v>
      </c>
      <c r="AN97" s="101">
        <v>14</v>
      </c>
      <c r="AO97" s="101">
        <f t="shared" si="102"/>
        <v>42</v>
      </c>
      <c r="AP97" s="101">
        <f t="shared" si="122"/>
        <v>4654.6610169491532</v>
      </c>
      <c r="AQ97" s="101">
        <f>I97+M97+Q97+U97+Y97+AC97+AG97+AK97+AO97</f>
        <v>5492.5</v>
      </c>
      <c r="AR97" s="102">
        <v>688.8</v>
      </c>
      <c r="AS97" s="101" t="s">
        <v>270</v>
      </c>
      <c r="AT97" s="103">
        <v>0</v>
      </c>
      <c r="AU97" s="103">
        <f t="shared" si="129"/>
        <v>5.0847457627118651</v>
      </c>
      <c r="AV97" s="103">
        <v>6</v>
      </c>
      <c r="AW97" s="103">
        <f t="shared" si="104"/>
        <v>3502.3728813559323</v>
      </c>
      <c r="AX97" s="103">
        <f t="shared" si="103"/>
        <v>4132.7999999999993</v>
      </c>
      <c r="AY97" s="104">
        <f t="shared" si="105"/>
        <v>8157.033898305086</v>
      </c>
      <c r="AZ97" s="105">
        <f t="shared" si="105"/>
        <v>9625.2999999999993</v>
      </c>
      <c r="BA97" s="9"/>
      <c r="BB97" s="9"/>
      <c r="BC97" s="9"/>
      <c r="BD97" s="9"/>
      <c r="BE97" s="43"/>
      <c r="BF97" s="43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</row>
    <row r="98" spans="1:93" s="29" customFormat="1" ht="45.75" outlineLevel="1" x14ac:dyDescent="0.3">
      <c r="A98" s="145" t="s">
        <v>63</v>
      </c>
      <c r="B98" s="146"/>
      <c r="C98" s="146"/>
      <c r="D98" s="120"/>
      <c r="E98" s="100"/>
      <c r="F98" s="120"/>
      <c r="G98" s="101">
        <v>0</v>
      </c>
      <c r="H98" s="101">
        <v>0</v>
      </c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07"/>
      <c r="AQ98" s="117"/>
      <c r="AR98" s="120"/>
      <c r="AS98" s="101"/>
      <c r="AT98" s="120"/>
      <c r="AU98" s="120"/>
      <c r="AV98" s="120"/>
      <c r="AW98" s="120"/>
      <c r="AX98" s="120"/>
      <c r="AY98" s="107"/>
      <c r="AZ98" s="108"/>
      <c r="BA98" s="28"/>
      <c r="BB98" s="28"/>
      <c r="BC98" s="28"/>
      <c r="BD98" s="28"/>
      <c r="BE98" s="28"/>
      <c r="BF98" s="28"/>
    </row>
    <row r="99" spans="1:93" s="5" customFormat="1" ht="45.75" outlineLevel="1" x14ac:dyDescent="0.25">
      <c r="A99" s="145" t="s">
        <v>65</v>
      </c>
      <c r="B99" s="146"/>
      <c r="C99" s="146"/>
      <c r="D99" s="120"/>
      <c r="E99" s="100"/>
      <c r="F99" s="120"/>
      <c r="G99" s="101">
        <v>0</v>
      </c>
      <c r="H99" s="101">
        <v>0</v>
      </c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07"/>
      <c r="AQ99" s="107"/>
      <c r="AR99" s="120"/>
      <c r="AS99" s="101"/>
      <c r="AT99" s="120"/>
      <c r="AU99" s="120"/>
      <c r="AV99" s="120"/>
      <c r="AW99" s="120"/>
      <c r="AX99" s="120"/>
      <c r="AY99" s="107"/>
      <c r="AZ99" s="108"/>
      <c r="BA99" s="9"/>
      <c r="BB99" s="9"/>
      <c r="BC99" s="9"/>
      <c r="BD99" s="9"/>
      <c r="BE99" s="9"/>
      <c r="BF99" s="9"/>
    </row>
    <row r="100" spans="1:93" s="4" customFormat="1" ht="228.75" outlineLevel="1" x14ac:dyDescent="0.25">
      <c r="A100" s="97">
        <f>A97+1</f>
        <v>80</v>
      </c>
      <c r="B100" s="98" t="s">
        <v>212</v>
      </c>
      <c r="C100" s="125" t="s">
        <v>111</v>
      </c>
      <c r="D100" s="99" t="s">
        <v>19</v>
      </c>
      <c r="E100" s="100">
        <f>F100+J100+N100+R100+V100+Z100+AD100+AH100+AL100</f>
        <v>1206.1000000000001</v>
      </c>
      <c r="F100" s="101">
        <v>0</v>
      </c>
      <c r="G100" s="101">
        <v>0</v>
      </c>
      <c r="H100" s="101">
        <v>0</v>
      </c>
      <c r="I100" s="101">
        <f t="shared" si="89"/>
        <v>0</v>
      </c>
      <c r="J100" s="100">
        <f>224+271.7</f>
        <v>495.7</v>
      </c>
      <c r="K100" s="101">
        <f t="shared" si="87"/>
        <v>11.864406779661017</v>
      </c>
      <c r="L100" s="101">
        <v>14</v>
      </c>
      <c r="M100" s="101">
        <f t="shared" si="90"/>
        <v>6939.8</v>
      </c>
      <c r="N100" s="102">
        <v>135.4</v>
      </c>
      <c r="O100" s="101">
        <f t="shared" si="91"/>
        <v>4.2372881355932206</v>
      </c>
      <c r="P100" s="101">
        <v>5</v>
      </c>
      <c r="Q100" s="101">
        <f t="shared" si="92"/>
        <v>677</v>
      </c>
      <c r="R100" s="100">
        <v>65.099999999999994</v>
      </c>
      <c r="S100" s="101">
        <f t="shared" si="93"/>
        <v>14.40677966101695</v>
      </c>
      <c r="T100" s="101">
        <v>17</v>
      </c>
      <c r="U100" s="101">
        <f t="shared" si="94"/>
        <v>1106.6999999999998</v>
      </c>
      <c r="V100" s="101">
        <v>31.6</v>
      </c>
      <c r="W100" s="101">
        <v>4.2</v>
      </c>
      <c r="X100" s="101">
        <v>7</v>
      </c>
      <c r="Y100" s="101">
        <f t="shared" si="95"/>
        <v>221.20000000000002</v>
      </c>
      <c r="Z100" s="100">
        <f>135.8+216</f>
        <v>351.8</v>
      </c>
      <c r="AA100" s="101">
        <f t="shared" si="96"/>
        <v>5.5084745762711869</v>
      </c>
      <c r="AB100" s="101">
        <v>6.5</v>
      </c>
      <c r="AC100" s="101">
        <f t="shared" si="97"/>
        <v>2286.7000000000003</v>
      </c>
      <c r="AD100" s="101">
        <v>0</v>
      </c>
      <c r="AE100" s="101"/>
      <c r="AF100" s="101"/>
      <c r="AG100" s="101">
        <f t="shared" si="98"/>
        <v>0</v>
      </c>
      <c r="AH100" s="102">
        <v>98</v>
      </c>
      <c r="AI100" s="101">
        <f t="shared" si="99"/>
        <v>7.6271186440677967</v>
      </c>
      <c r="AJ100" s="101">
        <v>9</v>
      </c>
      <c r="AK100" s="101">
        <f t="shared" si="100"/>
        <v>882</v>
      </c>
      <c r="AL100" s="102">
        <f>18.6+9.9</f>
        <v>28.5</v>
      </c>
      <c r="AM100" s="101">
        <f t="shared" si="101"/>
        <v>11.864406779661017</v>
      </c>
      <c r="AN100" s="101">
        <v>14</v>
      </c>
      <c r="AO100" s="101">
        <f t="shared" si="102"/>
        <v>399</v>
      </c>
      <c r="AP100" s="101">
        <f t="shared" si="122"/>
        <v>10603.728813559324</v>
      </c>
      <c r="AQ100" s="101">
        <f>I100+M100+Q100+U100+Y100+AC100+AG100+AK100+AO100</f>
        <v>12512.400000000001</v>
      </c>
      <c r="AR100" s="102">
        <f>63.45*2+1054.05*2</f>
        <v>2235</v>
      </c>
      <c r="AS100" s="101" t="s">
        <v>270</v>
      </c>
      <c r="AT100" s="103">
        <v>0</v>
      </c>
      <c r="AU100" s="103">
        <f t="shared" si="129"/>
        <v>5.0847457627118651</v>
      </c>
      <c r="AV100" s="103">
        <v>6</v>
      </c>
      <c r="AW100" s="103">
        <f t="shared" si="104"/>
        <v>11364.406779661018</v>
      </c>
      <c r="AX100" s="103">
        <f t="shared" si="103"/>
        <v>13410</v>
      </c>
      <c r="AY100" s="104">
        <f t="shared" si="105"/>
        <v>21968.135593220344</v>
      </c>
      <c r="AZ100" s="105">
        <f t="shared" si="105"/>
        <v>25922.400000000001</v>
      </c>
      <c r="BA100" s="9"/>
      <c r="BB100" s="9"/>
      <c r="BC100" s="9"/>
      <c r="BD100" s="9"/>
      <c r="BE100" s="43"/>
      <c r="BF100" s="43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</row>
    <row r="101" spans="1:93" s="4" customFormat="1" ht="228.75" outlineLevel="1" x14ac:dyDescent="0.25">
      <c r="A101" s="97">
        <f>A100+1</f>
        <v>81</v>
      </c>
      <c r="B101" s="98" t="s">
        <v>212</v>
      </c>
      <c r="C101" s="125" t="s">
        <v>112</v>
      </c>
      <c r="D101" s="99" t="s">
        <v>19</v>
      </c>
      <c r="E101" s="100">
        <f>F101+J101+N101+R101+V101+Z101+AD101+AH101+AL101</f>
        <v>1085.9000000000001</v>
      </c>
      <c r="F101" s="101">
        <v>0</v>
      </c>
      <c r="G101" s="101">
        <v>0</v>
      </c>
      <c r="H101" s="101">
        <v>0</v>
      </c>
      <c r="I101" s="101">
        <f t="shared" si="89"/>
        <v>0</v>
      </c>
      <c r="J101" s="100">
        <v>136.1</v>
      </c>
      <c r="K101" s="101">
        <f t="shared" si="87"/>
        <v>11.864406779661017</v>
      </c>
      <c r="L101" s="101">
        <v>14</v>
      </c>
      <c r="M101" s="101">
        <f t="shared" si="90"/>
        <v>1905.3999999999999</v>
      </c>
      <c r="N101" s="102">
        <v>153.9</v>
      </c>
      <c r="O101" s="101">
        <f t="shared" si="91"/>
        <v>4.2372881355932206</v>
      </c>
      <c r="P101" s="101">
        <v>5</v>
      </c>
      <c r="Q101" s="101">
        <f t="shared" si="92"/>
        <v>769.5</v>
      </c>
      <c r="R101" s="100">
        <v>0</v>
      </c>
      <c r="S101" s="101">
        <f t="shared" si="93"/>
        <v>14.40677966101695</v>
      </c>
      <c r="T101" s="101">
        <v>17</v>
      </c>
      <c r="U101" s="101">
        <f t="shared" si="94"/>
        <v>0</v>
      </c>
      <c r="V101" s="101">
        <v>0</v>
      </c>
      <c r="W101" s="101">
        <f t="shared" ref="W101" si="152">X101/1.18</f>
        <v>5.9322033898305087</v>
      </c>
      <c r="X101" s="101">
        <v>7</v>
      </c>
      <c r="Y101" s="101">
        <f t="shared" si="95"/>
        <v>0</v>
      </c>
      <c r="Z101" s="100">
        <f>126.6+26.4+18+20.3+141.1+13+35.6+69.1</f>
        <v>450.1</v>
      </c>
      <c r="AA101" s="101">
        <f t="shared" si="96"/>
        <v>5.5084745762711869</v>
      </c>
      <c r="AB101" s="101">
        <v>6.5</v>
      </c>
      <c r="AC101" s="101">
        <f t="shared" si="97"/>
        <v>2925.65</v>
      </c>
      <c r="AD101" s="101">
        <v>0</v>
      </c>
      <c r="AE101" s="101"/>
      <c r="AF101" s="101"/>
      <c r="AG101" s="101">
        <f t="shared" si="98"/>
        <v>0</v>
      </c>
      <c r="AH101" s="102">
        <f>33.9+301.4</f>
        <v>335.29999999999995</v>
      </c>
      <c r="AI101" s="101">
        <f t="shared" si="99"/>
        <v>7.6271186440677967</v>
      </c>
      <c r="AJ101" s="101">
        <v>9</v>
      </c>
      <c r="AK101" s="101">
        <f t="shared" si="100"/>
        <v>3017.7</v>
      </c>
      <c r="AL101" s="102">
        <v>10.5</v>
      </c>
      <c r="AM101" s="101">
        <f t="shared" si="101"/>
        <v>11.864406779661017</v>
      </c>
      <c r="AN101" s="101">
        <v>14</v>
      </c>
      <c r="AO101" s="101">
        <f t="shared" si="102"/>
        <v>147</v>
      </c>
      <c r="AP101" s="101">
        <f t="shared" si="122"/>
        <v>7428.1779661016953</v>
      </c>
      <c r="AQ101" s="101">
        <f>I101+M101+Q101+U101+Y101+AC101+AG101+AK101+AO101</f>
        <v>8765.25</v>
      </c>
      <c r="AR101" s="102">
        <f>252.3*3+50</f>
        <v>806.90000000000009</v>
      </c>
      <c r="AS101" s="101" t="s">
        <v>270</v>
      </c>
      <c r="AT101" s="103">
        <v>0</v>
      </c>
      <c r="AU101" s="103">
        <f t="shared" si="129"/>
        <v>5.0847457627118651</v>
      </c>
      <c r="AV101" s="103">
        <v>6</v>
      </c>
      <c r="AW101" s="103">
        <f t="shared" si="104"/>
        <v>4102.8813559322043</v>
      </c>
      <c r="AX101" s="103">
        <f t="shared" si="103"/>
        <v>4841.4000000000005</v>
      </c>
      <c r="AY101" s="104">
        <f t="shared" si="105"/>
        <v>11531.0593220339</v>
      </c>
      <c r="AZ101" s="105">
        <f t="shared" si="105"/>
        <v>13606.650000000001</v>
      </c>
      <c r="BA101" s="9"/>
      <c r="BB101" s="9"/>
      <c r="BC101" s="9"/>
      <c r="BD101" s="9"/>
      <c r="BE101" s="43"/>
      <c r="BF101" s="43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</row>
    <row r="102" spans="1:93" s="5" customFormat="1" ht="45.75" outlineLevel="1" x14ac:dyDescent="0.25">
      <c r="A102" s="147" t="s">
        <v>193</v>
      </c>
      <c r="B102" s="148"/>
      <c r="C102" s="148"/>
      <c r="D102" s="106"/>
      <c r="E102" s="100"/>
      <c r="F102" s="106"/>
      <c r="G102" s="101">
        <v>0</v>
      </c>
      <c r="H102" s="101">
        <v>0</v>
      </c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7"/>
      <c r="AQ102" s="107"/>
      <c r="AR102" s="106"/>
      <c r="AS102" s="101"/>
      <c r="AT102" s="106"/>
      <c r="AU102" s="106"/>
      <c r="AV102" s="106"/>
      <c r="AW102" s="106"/>
      <c r="AX102" s="106"/>
      <c r="AY102" s="107"/>
      <c r="AZ102" s="119"/>
      <c r="BA102" s="9"/>
      <c r="BB102" s="9"/>
      <c r="BC102" s="9"/>
      <c r="BD102" s="9"/>
      <c r="BE102" s="9"/>
      <c r="BF102" s="9"/>
    </row>
    <row r="103" spans="1:93" s="4" customFormat="1" ht="183" outlineLevel="1" x14ac:dyDescent="0.25">
      <c r="A103" s="97">
        <f>A101+1</f>
        <v>82</v>
      </c>
      <c r="B103" s="98" t="s">
        <v>211</v>
      </c>
      <c r="C103" s="125" t="s">
        <v>113</v>
      </c>
      <c r="D103" s="99" t="s">
        <v>19</v>
      </c>
      <c r="E103" s="100">
        <f t="shared" ref="E103:E110" si="153">F103+J103+N103+R103+V103+Z103+AD103+AH103+AL103</f>
        <v>523.5</v>
      </c>
      <c r="F103" s="101">
        <v>0</v>
      </c>
      <c r="G103" s="101">
        <v>0</v>
      </c>
      <c r="H103" s="101">
        <v>0</v>
      </c>
      <c r="I103" s="101">
        <f t="shared" si="89"/>
        <v>0</v>
      </c>
      <c r="J103" s="100">
        <v>75.8</v>
      </c>
      <c r="K103" s="101">
        <f t="shared" si="87"/>
        <v>11.864406779661017</v>
      </c>
      <c r="L103" s="101">
        <v>14</v>
      </c>
      <c r="M103" s="101">
        <f t="shared" si="90"/>
        <v>1061.2</v>
      </c>
      <c r="N103" s="102">
        <v>0</v>
      </c>
      <c r="O103" s="101">
        <f t="shared" si="91"/>
        <v>4.2372881355932206</v>
      </c>
      <c r="P103" s="101">
        <v>5</v>
      </c>
      <c r="Q103" s="101">
        <f t="shared" si="92"/>
        <v>0</v>
      </c>
      <c r="R103" s="100">
        <v>63.8</v>
      </c>
      <c r="S103" s="101">
        <f t="shared" si="93"/>
        <v>14.40677966101695</v>
      </c>
      <c r="T103" s="101">
        <v>17</v>
      </c>
      <c r="U103" s="101">
        <f t="shared" si="94"/>
        <v>1084.5999999999999</v>
      </c>
      <c r="V103" s="101">
        <f>131.4</f>
        <v>131.4</v>
      </c>
      <c r="W103" s="101">
        <v>4.2</v>
      </c>
      <c r="X103" s="101">
        <v>7</v>
      </c>
      <c r="Y103" s="101">
        <f t="shared" si="95"/>
        <v>919.80000000000007</v>
      </c>
      <c r="Z103" s="100">
        <v>235.3</v>
      </c>
      <c r="AA103" s="101">
        <f t="shared" si="96"/>
        <v>5.5084745762711869</v>
      </c>
      <c r="AB103" s="101">
        <v>6.5</v>
      </c>
      <c r="AC103" s="101">
        <f t="shared" si="97"/>
        <v>1529.45</v>
      </c>
      <c r="AD103" s="101">
        <v>0</v>
      </c>
      <c r="AE103" s="101"/>
      <c r="AF103" s="101"/>
      <c r="AG103" s="101">
        <f t="shared" si="98"/>
        <v>0</v>
      </c>
      <c r="AH103" s="102">
        <v>0</v>
      </c>
      <c r="AI103" s="101">
        <f t="shared" si="99"/>
        <v>7.6271186440677967</v>
      </c>
      <c r="AJ103" s="101">
        <v>9</v>
      </c>
      <c r="AK103" s="101">
        <f t="shared" si="100"/>
        <v>0</v>
      </c>
      <c r="AL103" s="102">
        <f>4.3+2.1+10.8</f>
        <v>17.200000000000003</v>
      </c>
      <c r="AM103" s="101">
        <f t="shared" si="101"/>
        <v>11.864406779661017</v>
      </c>
      <c r="AN103" s="101">
        <v>14</v>
      </c>
      <c r="AO103" s="101">
        <f t="shared" si="102"/>
        <v>240.80000000000004</v>
      </c>
      <c r="AP103" s="101">
        <f t="shared" si="122"/>
        <v>4098.1779661016953</v>
      </c>
      <c r="AQ103" s="101">
        <f t="shared" ref="AQ103:AQ110" si="154">I103+M103+Q103+U103+Y103+AC103+AG103+AK103+AO103</f>
        <v>4835.8500000000004</v>
      </c>
      <c r="AR103" s="102">
        <f>22+786</f>
        <v>808</v>
      </c>
      <c r="AS103" s="101" t="s">
        <v>270</v>
      </c>
      <c r="AT103" s="103">
        <v>0</v>
      </c>
      <c r="AU103" s="103">
        <f t="shared" si="129"/>
        <v>5.0847457627118651</v>
      </c>
      <c r="AV103" s="103">
        <v>6</v>
      </c>
      <c r="AW103" s="103">
        <f t="shared" si="104"/>
        <v>4108.4745762711873</v>
      </c>
      <c r="AX103" s="103">
        <f t="shared" si="103"/>
        <v>4848</v>
      </c>
      <c r="AY103" s="104">
        <f t="shared" si="105"/>
        <v>8206.6525423728817</v>
      </c>
      <c r="AZ103" s="105">
        <f t="shared" si="105"/>
        <v>9683.85</v>
      </c>
      <c r="BA103" s="9"/>
      <c r="BB103" s="9"/>
      <c r="BC103" s="9"/>
      <c r="BD103" s="9"/>
      <c r="BE103" s="43"/>
      <c r="BF103" s="43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</row>
    <row r="104" spans="1:93" s="4" customFormat="1" ht="183" outlineLevel="1" x14ac:dyDescent="0.25">
      <c r="A104" s="97">
        <f>A103+1</f>
        <v>83</v>
      </c>
      <c r="B104" s="98" t="s">
        <v>211</v>
      </c>
      <c r="C104" s="125" t="s">
        <v>114</v>
      </c>
      <c r="D104" s="99" t="s">
        <v>19</v>
      </c>
      <c r="E104" s="100">
        <f t="shared" si="153"/>
        <v>2314.5</v>
      </c>
      <c r="F104" s="101">
        <v>0</v>
      </c>
      <c r="G104" s="101">
        <v>0</v>
      </c>
      <c r="H104" s="101">
        <v>0</v>
      </c>
      <c r="I104" s="101">
        <f t="shared" si="89"/>
        <v>0</v>
      </c>
      <c r="J104" s="100">
        <v>336</v>
      </c>
      <c r="K104" s="101">
        <f t="shared" si="87"/>
        <v>11.864406779661017</v>
      </c>
      <c r="L104" s="101">
        <v>14</v>
      </c>
      <c r="M104" s="101">
        <f t="shared" si="90"/>
        <v>4704</v>
      </c>
      <c r="N104" s="102">
        <f>792.9+277.7+343+39</f>
        <v>1452.6</v>
      </c>
      <c r="O104" s="101">
        <f t="shared" si="91"/>
        <v>4.2372881355932206</v>
      </c>
      <c r="P104" s="101">
        <v>5</v>
      </c>
      <c r="Q104" s="101">
        <f t="shared" si="92"/>
        <v>7263</v>
      </c>
      <c r="R104" s="100">
        <v>0</v>
      </c>
      <c r="S104" s="101">
        <f t="shared" si="93"/>
        <v>14.40677966101695</v>
      </c>
      <c r="T104" s="101">
        <v>17</v>
      </c>
      <c r="U104" s="101">
        <f t="shared" si="94"/>
        <v>0</v>
      </c>
      <c r="V104" s="101">
        <f>56.7+16.5+31.8</f>
        <v>105</v>
      </c>
      <c r="W104" s="101">
        <f t="shared" ref="W104:W105" si="155">X104/1.18</f>
        <v>5.9322033898305087</v>
      </c>
      <c r="X104" s="101">
        <v>7</v>
      </c>
      <c r="Y104" s="101">
        <f t="shared" si="95"/>
        <v>735</v>
      </c>
      <c r="Z104" s="100">
        <f>244+52.4+16.5+16.5</f>
        <v>329.4</v>
      </c>
      <c r="AA104" s="101">
        <f t="shared" si="96"/>
        <v>5.5084745762711869</v>
      </c>
      <c r="AB104" s="101">
        <v>6.5</v>
      </c>
      <c r="AC104" s="101">
        <f t="shared" si="97"/>
        <v>2141.1</v>
      </c>
      <c r="AD104" s="101">
        <v>0</v>
      </c>
      <c r="AE104" s="101"/>
      <c r="AF104" s="101"/>
      <c r="AG104" s="101">
        <f t="shared" si="98"/>
        <v>0</v>
      </c>
      <c r="AH104" s="102">
        <f>54+17.5</f>
        <v>71.5</v>
      </c>
      <c r="AI104" s="101">
        <f t="shared" si="99"/>
        <v>7.6271186440677967</v>
      </c>
      <c r="AJ104" s="101">
        <v>9</v>
      </c>
      <c r="AK104" s="101">
        <f t="shared" si="100"/>
        <v>643.5</v>
      </c>
      <c r="AL104" s="102">
        <f>11.7+4.1+4.2</f>
        <v>20</v>
      </c>
      <c r="AM104" s="101">
        <f t="shared" si="101"/>
        <v>11.864406779661017</v>
      </c>
      <c r="AN104" s="101">
        <v>14</v>
      </c>
      <c r="AO104" s="101">
        <f t="shared" si="102"/>
        <v>280</v>
      </c>
      <c r="AP104" s="101">
        <f t="shared" si="122"/>
        <v>13361.525423728815</v>
      </c>
      <c r="AQ104" s="101">
        <f t="shared" si="154"/>
        <v>15766.6</v>
      </c>
      <c r="AR104" s="102">
        <f>15*2+315+415</f>
        <v>760</v>
      </c>
      <c r="AS104" s="101" t="s">
        <v>270</v>
      </c>
      <c r="AT104" s="103">
        <v>0</v>
      </c>
      <c r="AU104" s="103">
        <f t="shared" si="129"/>
        <v>5.0847457627118651</v>
      </c>
      <c r="AV104" s="103">
        <v>6</v>
      </c>
      <c r="AW104" s="103">
        <f t="shared" ref="AW104" si="156">AU104*AR104</f>
        <v>3864.4067796610175</v>
      </c>
      <c r="AX104" s="103">
        <f t="shared" ref="AX104" si="157">AV104*AR104</f>
        <v>4560</v>
      </c>
      <c r="AY104" s="104">
        <f t="shared" si="105"/>
        <v>17225.932203389832</v>
      </c>
      <c r="AZ104" s="105">
        <f t="shared" si="105"/>
        <v>20326.599999999999</v>
      </c>
      <c r="BA104" s="9"/>
      <c r="BB104" s="9"/>
      <c r="BC104" s="9"/>
      <c r="BD104" s="9"/>
      <c r="BE104" s="43"/>
      <c r="BF104" s="43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</row>
    <row r="105" spans="1:93" s="4" customFormat="1" ht="228.75" outlineLevel="1" x14ac:dyDescent="0.25">
      <c r="A105" s="97">
        <f t="shared" ref="A105:A110" si="158">A104+1</f>
        <v>84</v>
      </c>
      <c r="B105" s="98" t="s">
        <v>211</v>
      </c>
      <c r="C105" s="125" t="s">
        <v>115</v>
      </c>
      <c r="D105" s="99" t="s">
        <v>19</v>
      </c>
      <c r="E105" s="100">
        <f t="shared" si="153"/>
        <v>549.6</v>
      </c>
      <c r="F105" s="101">
        <v>0</v>
      </c>
      <c r="G105" s="101">
        <v>0</v>
      </c>
      <c r="H105" s="101">
        <v>0</v>
      </c>
      <c r="I105" s="101">
        <f t="shared" si="89"/>
        <v>0</v>
      </c>
      <c r="J105" s="100">
        <f>0</f>
        <v>0</v>
      </c>
      <c r="K105" s="101">
        <f t="shared" si="87"/>
        <v>11.864406779661017</v>
      </c>
      <c r="L105" s="101">
        <v>14</v>
      </c>
      <c r="M105" s="101">
        <f t="shared" si="90"/>
        <v>0</v>
      </c>
      <c r="N105" s="102">
        <v>319</v>
      </c>
      <c r="O105" s="101">
        <f t="shared" si="91"/>
        <v>4.2372881355932206</v>
      </c>
      <c r="P105" s="101">
        <v>5</v>
      </c>
      <c r="Q105" s="101">
        <f t="shared" si="92"/>
        <v>1595</v>
      </c>
      <c r="R105" s="100">
        <v>0</v>
      </c>
      <c r="S105" s="101">
        <f t="shared" si="93"/>
        <v>14.40677966101695</v>
      </c>
      <c r="T105" s="101">
        <v>17</v>
      </c>
      <c r="U105" s="101">
        <f t="shared" si="94"/>
        <v>0</v>
      </c>
      <c r="V105" s="101">
        <v>40.700000000000003</v>
      </c>
      <c r="W105" s="101">
        <f t="shared" si="155"/>
        <v>5.9322033898305087</v>
      </c>
      <c r="X105" s="101">
        <v>7</v>
      </c>
      <c r="Y105" s="101">
        <f t="shared" si="95"/>
        <v>284.90000000000003</v>
      </c>
      <c r="Z105" s="100">
        <f>38.6+32+38.6+17.8+38.6</f>
        <v>165.6</v>
      </c>
      <c r="AA105" s="101">
        <f t="shared" si="96"/>
        <v>5.5084745762711869</v>
      </c>
      <c r="AB105" s="101">
        <v>6.5</v>
      </c>
      <c r="AC105" s="101">
        <f t="shared" si="97"/>
        <v>1076.3999999999999</v>
      </c>
      <c r="AD105" s="101">
        <v>0</v>
      </c>
      <c r="AE105" s="101"/>
      <c r="AF105" s="101"/>
      <c r="AG105" s="101">
        <f t="shared" si="98"/>
        <v>0</v>
      </c>
      <c r="AH105" s="102">
        <v>10.1</v>
      </c>
      <c r="AI105" s="101">
        <f t="shared" si="99"/>
        <v>7.6271186440677967</v>
      </c>
      <c r="AJ105" s="101">
        <v>9</v>
      </c>
      <c r="AK105" s="101">
        <f t="shared" si="100"/>
        <v>90.899999999999991</v>
      </c>
      <c r="AL105" s="102">
        <f>4.5+4.6+5.1</f>
        <v>14.2</v>
      </c>
      <c r="AM105" s="101">
        <f t="shared" si="101"/>
        <v>11.864406779661017</v>
      </c>
      <c r="AN105" s="101">
        <v>14</v>
      </c>
      <c r="AO105" s="101">
        <f t="shared" si="102"/>
        <v>198.79999999999998</v>
      </c>
      <c r="AP105" s="101">
        <f t="shared" si="122"/>
        <v>2750.8474576271192</v>
      </c>
      <c r="AQ105" s="101">
        <f t="shared" si="154"/>
        <v>3246.0000000000005</v>
      </c>
      <c r="AR105" s="102">
        <v>40</v>
      </c>
      <c r="AS105" s="101" t="s">
        <v>270</v>
      </c>
      <c r="AT105" s="103">
        <v>0</v>
      </c>
      <c r="AU105" s="103">
        <f t="shared" si="129"/>
        <v>5.0847457627118651</v>
      </c>
      <c r="AV105" s="103">
        <v>6</v>
      </c>
      <c r="AW105" s="103">
        <f t="shared" si="104"/>
        <v>203.3898305084746</v>
      </c>
      <c r="AX105" s="103">
        <f t="shared" si="103"/>
        <v>240</v>
      </c>
      <c r="AY105" s="104">
        <f t="shared" si="105"/>
        <v>2954.2372881355936</v>
      </c>
      <c r="AZ105" s="105">
        <f t="shared" si="105"/>
        <v>3486.0000000000005</v>
      </c>
      <c r="BA105" s="9"/>
      <c r="BB105" s="9"/>
      <c r="BC105" s="9"/>
      <c r="BD105" s="9"/>
      <c r="BE105" s="43"/>
      <c r="BF105" s="43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</row>
    <row r="106" spans="1:93" s="4" customFormat="1" ht="320.25" outlineLevel="1" x14ac:dyDescent="0.25">
      <c r="A106" s="97">
        <f t="shared" si="158"/>
        <v>85</v>
      </c>
      <c r="B106" s="98" t="s">
        <v>211</v>
      </c>
      <c r="C106" s="125" t="s">
        <v>116</v>
      </c>
      <c r="D106" s="99" t="s">
        <v>19</v>
      </c>
      <c r="E106" s="100">
        <f t="shared" si="153"/>
        <v>158.5</v>
      </c>
      <c r="F106" s="101">
        <v>0</v>
      </c>
      <c r="G106" s="101">
        <v>0</v>
      </c>
      <c r="H106" s="101">
        <v>0</v>
      </c>
      <c r="I106" s="101">
        <f t="shared" si="89"/>
        <v>0</v>
      </c>
      <c r="J106" s="100">
        <v>0</v>
      </c>
      <c r="K106" s="101">
        <f t="shared" si="87"/>
        <v>11.864406779661017</v>
      </c>
      <c r="L106" s="101">
        <v>14</v>
      </c>
      <c r="M106" s="101">
        <f t="shared" si="90"/>
        <v>0</v>
      </c>
      <c r="N106" s="102">
        <f>115+10.4</f>
        <v>125.4</v>
      </c>
      <c r="O106" s="101">
        <f t="shared" si="91"/>
        <v>4.2372881355932206</v>
      </c>
      <c r="P106" s="101">
        <v>5</v>
      </c>
      <c r="Q106" s="101">
        <f t="shared" si="92"/>
        <v>627</v>
      </c>
      <c r="R106" s="100">
        <v>0</v>
      </c>
      <c r="S106" s="101">
        <f t="shared" si="93"/>
        <v>14.40677966101695</v>
      </c>
      <c r="T106" s="101">
        <v>17</v>
      </c>
      <c r="U106" s="101">
        <f t="shared" si="94"/>
        <v>0</v>
      </c>
      <c r="V106" s="101">
        <v>5</v>
      </c>
      <c r="W106" s="101">
        <v>4.2</v>
      </c>
      <c r="X106" s="101">
        <v>7</v>
      </c>
      <c r="Y106" s="101">
        <f t="shared" si="95"/>
        <v>35</v>
      </c>
      <c r="Z106" s="100">
        <f>13.5+11</f>
        <v>24.5</v>
      </c>
      <c r="AA106" s="101">
        <f t="shared" si="96"/>
        <v>5.5084745762711869</v>
      </c>
      <c r="AB106" s="101">
        <v>6.5</v>
      </c>
      <c r="AC106" s="101">
        <f t="shared" si="97"/>
        <v>159.25</v>
      </c>
      <c r="AD106" s="101">
        <v>0</v>
      </c>
      <c r="AE106" s="101"/>
      <c r="AF106" s="101"/>
      <c r="AG106" s="101">
        <f t="shared" si="98"/>
        <v>0</v>
      </c>
      <c r="AH106" s="102">
        <v>0</v>
      </c>
      <c r="AI106" s="101">
        <f t="shared" si="99"/>
        <v>7.6271186440677967</v>
      </c>
      <c r="AJ106" s="101">
        <v>9</v>
      </c>
      <c r="AK106" s="101">
        <f t="shared" si="100"/>
        <v>0</v>
      </c>
      <c r="AL106" s="102">
        <v>3.6</v>
      </c>
      <c r="AM106" s="101">
        <f t="shared" si="101"/>
        <v>11.864406779661017</v>
      </c>
      <c r="AN106" s="101">
        <v>14</v>
      </c>
      <c r="AO106" s="101">
        <f t="shared" si="102"/>
        <v>50.4</v>
      </c>
      <c r="AP106" s="101">
        <f t="shared" si="122"/>
        <v>738.68644067796617</v>
      </c>
      <c r="AQ106" s="101">
        <f t="shared" si="154"/>
        <v>871.65</v>
      </c>
      <c r="AR106" s="102">
        <v>80</v>
      </c>
      <c r="AS106" s="101" t="s">
        <v>270</v>
      </c>
      <c r="AT106" s="103">
        <v>0</v>
      </c>
      <c r="AU106" s="103">
        <f t="shared" si="129"/>
        <v>5.0847457627118651</v>
      </c>
      <c r="AV106" s="103">
        <v>6</v>
      </c>
      <c r="AW106" s="103">
        <f t="shared" si="104"/>
        <v>406.77966101694921</v>
      </c>
      <c r="AX106" s="103">
        <f t="shared" si="103"/>
        <v>480</v>
      </c>
      <c r="AY106" s="104">
        <f t="shared" si="105"/>
        <v>1145.4661016949153</v>
      </c>
      <c r="AZ106" s="105">
        <f t="shared" si="105"/>
        <v>1351.65</v>
      </c>
      <c r="BA106" s="9"/>
      <c r="BB106" s="9"/>
      <c r="BC106" s="9"/>
      <c r="BD106" s="9"/>
      <c r="BE106" s="43"/>
      <c r="BF106" s="43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</row>
    <row r="107" spans="1:93" s="4" customFormat="1" ht="274.5" outlineLevel="1" x14ac:dyDescent="0.25">
      <c r="A107" s="97">
        <f t="shared" si="158"/>
        <v>86</v>
      </c>
      <c r="B107" s="98" t="s">
        <v>211</v>
      </c>
      <c r="C107" s="125" t="s">
        <v>189</v>
      </c>
      <c r="D107" s="99" t="s">
        <v>19</v>
      </c>
      <c r="E107" s="100">
        <f t="shared" si="153"/>
        <v>505.20000000000005</v>
      </c>
      <c r="F107" s="101">
        <v>0</v>
      </c>
      <c r="G107" s="101">
        <v>0</v>
      </c>
      <c r="H107" s="101">
        <v>0</v>
      </c>
      <c r="I107" s="101">
        <f t="shared" si="89"/>
        <v>0</v>
      </c>
      <c r="J107" s="100">
        <f>87.5+31.1</f>
        <v>118.6</v>
      </c>
      <c r="K107" s="101">
        <f t="shared" si="87"/>
        <v>11.864406779661017</v>
      </c>
      <c r="L107" s="101">
        <v>14</v>
      </c>
      <c r="M107" s="101">
        <f t="shared" si="90"/>
        <v>1660.3999999999999</v>
      </c>
      <c r="N107" s="102">
        <f>135.7+118.3</f>
        <v>254</v>
      </c>
      <c r="O107" s="101">
        <f t="shared" si="91"/>
        <v>4.2372881355932206</v>
      </c>
      <c r="P107" s="101">
        <v>5</v>
      </c>
      <c r="Q107" s="101">
        <f t="shared" si="92"/>
        <v>1270</v>
      </c>
      <c r="R107" s="100">
        <v>0</v>
      </c>
      <c r="S107" s="101">
        <f t="shared" si="93"/>
        <v>14.40677966101695</v>
      </c>
      <c r="T107" s="101">
        <v>17</v>
      </c>
      <c r="U107" s="101">
        <f t="shared" si="94"/>
        <v>0</v>
      </c>
      <c r="V107" s="101">
        <v>14.5</v>
      </c>
      <c r="W107" s="101">
        <f t="shared" ref="W107:W109" si="159">X107/1.18</f>
        <v>5.9322033898305087</v>
      </c>
      <c r="X107" s="101">
        <v>7</v>
      </c>
      <c r="Y107" s="101">
        <f t="shared" si="95"/>
        <v>101.5</v>
      </c>
      <c r="Z107" s="100">
        <f>40.1+23.4+11.8+40.3</f>
        <v>115.6</v>
      </c>
      <c r="AA107" s="101">
        <f t="shared" si="96"/>
        <v>5.5084745762711869</v>
      </c>
      <c r="AB107" s="101">
        <v>6.5</v>
      </c>
      <c r="AC107" s="101">
        <f t="shared" si="97"/>
        <v>751.4</v>
      </c>
      <c r="AD107" s="101">
        <v>0</v>
      </c>
      <c r="AE107" s="101"/>
      <c r="AF107" s="101"/>
      <c r="AG107" s="101">
        <f t="shared" si="98"/>
        <v>0</v>
      </c>
      <c r="AH107" s="102">
        <v>0</v>
      </c>
      <c r="AI107" s="101">
        <f t="shared" si="99"/>
        <v>7.6271186440677967</v>
      </c>
      <c r="AJ107" s="101">
        <v>9</v>
      </c>
      <c r="AK107" s="101">
        <f t="shared" si="100"/>
        <v>0</v>
      </c>
      <c r="AL107" s="102">
        <v>2.5</v>
      </c>
      <c r="AM107" s="101">
        <f t="shared" si="101"/>
        <v>11.864406779661017</v>
      </c>
      <c r="AN107" s="101">
        <v>14</v>
      </c>
      <c r="AO107" s="101">
        <f t="shared" si="102"/>
        <v>35</v>
      </c>
      <c r="AP107" s="101">
        <f t="shared" si="122"/>
        <v>3235.8474576271187</v>
      </c>
      <c r="AQ107" s="101">
        <f t="shared" si="154"/>
        <v>3818.2999999999997</v>
      </c>
      <c r="AR107" s="102">
        <f>60+190</f>
        <v>250</v>
      </c>
      <c r="AS107" s="101" t="s">
        <v>270</v>
      </c>
      <c r="AT107" s="103">
        <v>0</v>
      </c>
      <c r="AU107" s="103">
        <f t="shared" si="129"/>
        <v>5.0847457627118651</v>
      </c>
      <c r="AV107" s="103">
        <v>6</v>
      </c>
      <c r="AW107" s="103">
        <f t="shared" si="104"/>
        <v>1271.1864406779662</v>
      </c>
      <c r="AX107" s="103">
        <f t="shared" si="103"/>
        <v>1500</v>
      </c>
      <c r="AY107" s="104">
        <f t="shared" si="105"/>
        <v>4507.0338983050851</v>
      </c>
      <c r="AZ107" s="105">
        <f t="shared" si="105"/>
        <v>5318.2999999999993</v>
      </c>
      <c r="BA107" s="9"/>
      <c r="BB107" s="9"/>
      <c r="BC107" s="9"/>
      <c r="BD107" s="9"/>
      <c r="BE107" s="43"/>
      <c r="BF107" s="43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</row>
    <row r="108" spans="1:93" s="4" customFormat="1" ht="274.5" outlineLevel="1" x14ac:dyDescent="0.25">
      <c r="A108" s="97">
        <f t="shared" si="158"/>
        <v>87</v>
      </c>
      <c r="B108" s="98" t="s">
        <v>211</v>
      </c>
      <c r="C108" s="125" t="s">
        <v>117</v>
      </c>
      <c r="D108" s="99" t="s">
        <v>19</v>
      </c>
      <c r="E108" s="100">
        <f t="shared" si="153"/>
        <v>623.79999999999995</v>
      </c>
      <c r="F108" s="101">
        <v>0</v>
      </c>
      <c r="G108" s="101">
        <v>0</v>
      </c>
      <c r="H108" s="101">
        <v>0</v>
      </c>
      <c r="I108" s="101">
        <f t="shared" si="89"/>
        <v>0</v>
      </c>
      <c r="J108" s="100">
        <v>244.1</v>
      </c>
      <c r="K108" s="101">
        <f t="shared" si="87"/>
        <v>11.864406779661017</v>
      </c>
      <c r="L108" s="101">
        <v>14</v>
      </c>
      <c r="M108" s="101">
        <f t="shared" si="90"/>
        <v>3417.4</v>
      </c>
      <c r="N108" s="102">
        <v>50.1</v>
      </c>
      <c r="O108" s="101">
        <f t="shared" si="91"/>
        <v>4.2372881355932206</v>
      </c>
      <c r="P108" s="101">
        <v>5</v>
      </c>
      <c r="Q108" s="101">
        <f t="shared" si="92"/>
        <v>250.5</v>
      </c>
      <c r="R108" s="100">
        <v>0</v>
      </c>
      <c r="S108" s="101">
        <f t="shared" si="93"/>
        <v>14.40677966101695</v>
      </c>
      <c r="T108" s="101">
        <v>17</v>
      </c>
      <c r="U108" s="101">
        <f t="shared" si="94"/>
        <v>0</v>
      </c>
      <c r="V108" s="101">
        <v>0</v>
      </c>
      <c r="W108" s="101">
        <f t="shared" si="159"/>
        <v>5.9322033898305087</v>
      </c>
      <c r="X108" s="101">
        <v>7</v>
      </c>
      <c r="Y108" s="101">
        <f t="shared" si="95"/>
        <v>0</v>
      </c>
      <c r="Z108" s="100">
        <v>60.5</v>
      </c>
      <c r="AA108" s="101">
        <f t="shared" si="96"/>
        <v>5.5084745762711869</v>
      </c>
      <c r="AB108" s="101">
        <v>6.5</v>
      </c>
      <c r="AC108" s="101">
        <f t="shared" si="97"/>
        <v>393.25</v>
      </c>
      <c r="AD108" s="101">
        <v>0</v>
      </c>
      <c r="AE108" s="101"/>
      <c r="AF108" s="101"/>
      <c r="AG108" s="101">
        <f t="shared" si="98"/>
        <v>0</v>
      </c>
      <c r="AH108" s="102">
        <v>244.1</v>
      </c>
      <c r="AI108" s="101">
        <f t="shared" si="99"/>
        <v>7.6271186440677967</v>
      </c>
      <c r="AJ108" s="101">
        <v>9</v>
      </c>
      <c r="AK108" s="101">
        <f t="shared" si="100"/>
        <v>2196.9</v>
      </c>
      <c r="AL108" s="102">
        <v>25</v>
      </c>
      <c r="AM108" s="101">
        <f t="shared" si="101"/>
        <v>11.864406779661017</v>
      </c>
      <c r="AN108" s="101">
        <v>14</v>
      </c>
      <c r="AO108" s="101">
        <f t="shared" si="102"/>
        <v>350</v>
      </c>
      <c r="AP108" s="101">
        <f t="shared" si="122"/>
        <v>5600.0423728813566</v>
      </c>
      <c r="AQ108" s="101">
        <f t="shared" si="154"/>
        <v>6608.05</v>
      </c>
      <c r="AR108" s="102">
        <v>634</v>
      </c>
      <c r="AS108" s="101" t="s">
        <v>270</v>
      </c>
      <c r="AT108" s="103">
        <v>0</v>
      </c>
      <c r="AU108" s="103">
        <f t="shared" si="129"/>
        <v>5.0847457627118651</v>
      </c>
      <c r="AV108" s="103">
        <v>6</v>
      </c>
      <c r="AW108" s="103">
        <f t="shared" si="104"/>
        <v>3223.7288135593226</v>
      </c>
      <c r="AX108" s="103">
        <f t="shared" si="103"/>
        <v>3804</v>
      </c>
      <c r="AY108" s="104">
        <f t="shared" si="105"/>
        <v>8823.7711864406792</v>
      </c>
      <c r="AZ108" s="105">
        <f t="shared" si="105"/>
        <v>10412.049999999999</v>
      </c>
      <c r="BA108" s="9"/>
      <c r="BB108" s="9"/>
      <c r="BC108" s="9"/>
      <c r="BD108" s="9"/>
      <c r="BE108" s="43"/>
      <c r="BF108" s="43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</row>
    <row r="109" spans="1:93" s="4" customFormat="1" ht="366" outlineLevel="1" x14ac:dyDescent="0.25">
      <c r="A109" s="97">
        <f t="shared" si="158"/>
        <v>88</v>
      </c>
      <c r="B109" s="128" t="s">
        <v>211</v>
      </c>
      <c r="C109" s="125" t="s">
        <v>118</v>
      </c>
      <c r="D109" s="99" t="s">
        <v>19</v>
      </c>
      <c r="E109" s="100">
        <f t="shared" si="153"/>
        <v>58.71</v>
      </c>
      <c r="F109" s="101">
        <v>0</v>
      </c>
      <c r="G109" s="101">
        <v>0</v>
      </c>
      <c r="H109" s="101">
        <v>0</v>
      </c>
      <c r="I109" s="101">
        <f t="shared" si="89"/>
        <v>0</v>
      </c>
      <c r="J109" s="100">
        <v>0</v>
      </c>
      <c r="K109" s="101">
        <f t="shared" si="87"/>
        <v>11.864406779661017</v>
      </c>
      <c r="L109" s="101">
        <v>14</v>
      </c>
      <c r="M109" s="101">
        <f t="shared" si="90"/>
        <v>0</v>
      </c>
      <c r="N109" s="102">
        <v>58.71</v>
      </c>
      <c r="O109" s="101">
        <f t="shared" si="91"/>
        <v>4.2372881355932206</v>
      </c>
      <c r="P109" s="101">
        <v>5</v>
      </c>
      <c r="Q109" s="101">
        <f t="shared" si="92"/>
        <v>293.55</v>
      </c>
      <c r="R109" s="100">
        <v>0</v>
      </c>
      <c r="S109" s="101">
        <f t="shared" si="93"/>
        <v>14.40677966101695</v>
      </c>
      <c r="T109" s="101">
        <v>17</v>
      </c>
      <c r="U109" s="101">
        <f t="shared" si="94"/>
        <v>0</v>
      </c>
      <c r="V109" s="101">
        <v>0</v>
      </c>
      <c r="W109" s="101">
        <f t="shared" si="159"/>
        <v>5.9322033898305087</v>
      </c>
      <c r="X109" s="101">
        <v>7</v>
      </c>
      <c r="Y109" s="101">
        <f t="shared" si="95"/>
        <v>0</v>
      </c>
      <c r="Z109" s="100">
        <v>0</v>
      </c>
      <c r="AA109" s="101">
        <f t="shared" si="96"/>
        <v>5.5084745762711869</v>
      </c>
      <c r="AB109" s="101">
        <v>6.5</v>
      </c>
      <c r="AC109" s="101">
        <f t="shared" si="97"/>
        <v>0</v>
      </c>
      <c r="AD109" s="101">
        <v>0</v>
      </c>
      <c r="AE109" s="101"/>
      <c r="AF109" s="101"/>
      <c r="AG109" s="101">
        <f t="shared" si="98"/>
        <v>0</v>
      </c>
      <c r="AH109" s="102">
        <v>0</v>
      </c>
      <c r="AI109" s="101">
        <f t="shared" si="99"/>
        <v>7.6271186440677967</v>
      </c>
      <c r="AJ109" s="101">
        <v>9</v>
      </c>
      <c r="AK109" s="101">
        <f t="shared" si="100"/>
        <v>0</v>
      </c>
      <c r="AL109" s="102">
        <v>0</v>
      </c>
      <c r="AM109" s="101">
        <f t="shared" si="101"/>
        <v>11.864406779661017</v>
      </c>
      <c r="AN109" s="101">
        <v>14</v>
      </c>
      <c r="AO109" s="101">
        <f t="shared" si="102"/>
        <v>0</v>
      </c>
      <c r="AP109" s="101">
        <f t="shared" si="122"/>
        <v>248.77118644067798</v>
      </c>
      <c r="AQ109" s="101">
        <f t="shared" si="154"/>
        <v>293.55</v>
      </c>
      <c r="AR109" s="102">
        <v>0</v>
      </c>
      <c r="AS109" s="101" t="s">
        <v>270</v>
      </c>
      <c r="AT109" s="103">
        <v>0</v>
      </c>
      <c r="AU109" s="103">
        <f t="shared" si="129"/>
        <v>5.0847457627118651</v>
      </c>
      <c r="AV109" s="103">
        <v>6</v>
      </c>
      <c r="AW109" s="103">
        <f t="shared" si="104"/>
        <v>0</v>
      </c>
      <c r="AX109" s="103">
        <f t="shared" si="103"/>
        <v>0</v>
      </c>
      <c r="AY109" s="104">
        <f t="shared" si="105"/>
        <v>248.77118644067798</v>
      </c>
      <c r="AZ109" s="105">
        <f t="shared" si="105"/>
        <v>293.55</v>
      </c>
      <c r="BA109" s="9"/>
      <c r="BB109" s="9"/>
      <c r="BC109" s="9"/>
      <c r="BD109" s="9"/>
      <c r="BE109" s="43"/>
      <c r="BF109" s="43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</row>
    <row r="110" spans="1:93" s="4" customFormat="1" ht="320.25" outlineLevel="1" x14ac:dyDescent="0.25">
      <c r="A110" s="97">
        <f t="shared" si="158"/>
        <v>89</v>
      </c>
      <c r="B110" s="98" t="s">
        <v>211</v>
      </c>
      <c r="C110" s="125" t="s">
        <v>119</v>
      </c>
      <c r="D110" s="99" t="s">
        <v>19</v>
      </c>
      <c r="E110" s="100">
        <f t="shared" si="153"/>
        <v>325.8</v>
      </c>
      <c r="F110" s="101">
        <v>0</v>
      </c>
      <c r="G110" s="101">
        <v>0</v>
      </c>
      <c r="H110" s="101">
        <v>0</v>
      </c>
      <c r="I110" s="101">
        <f t="shared" si="89"/>
        <v>0</v>
      </c>
      <c r="J110" s="100">
        <v>168.9</v>
      </c>
      <c r="K110" s="101">
        <f t="shared" si="87"/>
        <v>11.864406779661017</v>
      </c>
      <c r="L110" s="101">
        <v>14</v>
      </c>
      <c r="M110" s="101">
        <f t="shared" si="90"/>
        <v>2364.6</v>
      </c>
      <c r="N110" s="102">
        <v>0</v>
      </c>
      <c r="O110" s="101">
        <f t="shared" si="91"/>
        <v>4.2372881355932206</v>
      </c>
      <c r="P110" s="101">
        <v>5</v>
      </c>
      <c r="Q110" s="101">
        <f t="shared" si="92"/>
        <v>0</v>
      </c>
      <c r="R110" s="100">
        <v>0</v>
      </c>
      <c r="S110" s="101">
        <f t="shared" si="93"/>
        <v>14.40677966101695</v>
      </c>
      <c r="T110" s="101">
        <v>17</v>
      </c>
      <c r="U110" s="101">
        <f t="shared" si="94"/>
        <v>0</v>
      </c>
      <c r="V110" s="101">
        <v>0</v>
      </c>
      <c r="W110" s="101">
        <v>4.2</v>
      </c>
      <c r="X110" s="101">
        <v>7</v>
      </c>
      <c r="Y110" s="101">
        <f t="shared" si="95"/>
        <v>0</v>
      </c>
      <c r="Z110" s="100">
        <v>60.1</v>
      </c>
      <c r="AA110" s="101">
        <f t="shared" si="96"/>
        <v>5.5084745762711869</v>
      </c>
      <c r="AB110" s="101">
        <v>6.5</v>
      </c>
      <c r="AC110" s="101">
        <f t="shared" si="97"/>
        <v>390.65000000000003</v>
      </c>
      <c r="AD110" s="101">
        <v>0</v>
      </c>
      <c r="AE110" s="101"/>
      <c r="AF110" s="101"/>
      <c r="AG110" s="101">
        <f t="shared" si="98"/>
        <v>0</v>
      </c>
      <c r="AH110" s="102">
        <v>79.7</v>
      </c>
      <c r="AI110" s="101">
        <f t="shared" si="99"/>
        <v>7.6271186440677967</v>
      </c>
      <c r="AJ110" s="101">
        <v>9</v>
      </c>
      <c r="AK110" s="101">
        <f t="shared" si="100"/>
        <v>717.30000000000007</v>
      </c>
      <c r="AL110" s="102">
        <v>17.100000000000001</v>
      </c>
      <c r="AM110" s="101">
        <f t="shared" si="101"/>
        <v>11.864406779661017</v>
      </c>
      <c r="AN110" s="101">
        <v>14</v>
      </c>
      <c r="AO110" s="101">
        <f t="shared" si="102"/>
        <v>239.40000000000003</v>
      </c>
      <c r="AP110" s="101">
        <f t="shared" si="122"/>
        <v>3145.7203389830511</v>
      </c>
      <c r="AQ110" s="101">
        <f t="shared" si="154"/>
        <v>3711.9500000000003</v>
      </c>
      <c r="AR110" s="102">
        <v>710</v>
      </c>
      <c r="AS110" s="101" t="s">
        <v>270</v>
      </c>
      <c r="AT110" s="103">
        <v>0</v>
      </c>
      <c r="AU110" s="103">
        <f t="shared" si="129"/>
        <v>5.0847457627118651</v>
      </c>
      <c r="AV110" s="103">
        <v>6</v>
      </c>
      <c r="AW110" s="103">
        <f t="shared" si="104"/>
        <v>3610.1694915254243</v>
      </c>
      <c r="AX110" s="103">
        <f t="shared" si="103"/>
        <v>4260</v>
      </c>
      <c r="AY110" s="104">
        <f t="shared" si="105"/>
        <v>6755.8898305084749</v>
      </c>
      <c r="AZ110" s="105">
        <f t="shared" si="105"/>
        <v>7971.9500000000007</v>
      </c>
      <c r="BA110" s="9"/>
      <c r="BB110" s="9"/>
      <c r="BC110" s="9"/>
      <c r="BD110" s="9"/>
      <c r="BE110" s="43"/>
      <c r="BF110" s="43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</row>
    <row r="111" spans="1:93" s="29" customFormat="1" ht="45.75" outlineLevel="1" x14ac:dyDescent="0.3">
      <c r="A111" s="145" t="s">
        <v>66</v>
      </c>
      <c r="B111" s="146"/>
      <c r="C111" s="146"/>
      <c r="D111" s="120"/>
      <c r="E111" s="100"/>
      <c r="F111" s="120"/>
      <c r="G111" s="101">
        <v>0</v>
      </c>
      <c r="H111" s="101">
        <v>0</v>
      </c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0"/>
      <c r="AH111" s="120"/>
      <c r="AI111" s="120"/>
      <c r="AJ111" s="120"/>
      <c r="AK111" s="120"/>
      <c r="AL111" s="120"/>
      <c r="AM111" s="120"/>
      <c r="AN111" s="120"/>
      <c r="AO111" s="120"/>
      <c r="AP111" s="107"/>
      <c r="AQ111" s="107"/>
      <c r="AR111" s="120"/>
      <c r="AS111" s="101"/>
      <c r="AT111" s="120"/>
      <c r="AU111" s="120"/>
      <c r="AV111" s="120"/>
      <c r="AW111" s="120"/>
      <c r="AX111" s="120"/>
      <c r="AY111" s="107"/>
      <c r="AZ111" s="119"/>
      <c r="BA111" s="65"/>
      <c r="BB111" s="28"/>
      <c r="BC111" s="28"/>
      <c r="BD111" s="28"/>
      <c r="BE111" s="28"/>
      <c r="BF111" s="28"/>
    </row>
    <row r="112" spans="1:93" s="32" customFormat="1" ht="45.75" outlineLevel="1" x14ac:dyDescent="0.3">
      <c r="A112" s="145" t="s">
        <v>120</v>
      </c>
      <c r="B112" s="146"/>
      <c r="C112" s="146"/>
      <c r="D112" s="120"/>
      <c r="E112" s="100"/>
      <c r="F112" s="120"/>
      <c r="G112" s="101">
        <v>0</v>
      </c>
      <c r="H112" s="101">
        <v>0</v>
      </c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  <c r="AN112" s="120"/>
      <c r="AO112" s="120"/>
      <c r="AP112" s="107"/>
      <c r="AQ112" s="107"/>
      <c r="AR112" s="120"/>
      <c r="AS112" s="101"/>
      <c r="AT112" s="120"/>
      <c r="AU112" s="120"/>
      <c r="AV112" s="120"/>
      <c r="AW112" s="120"/>
      <c r="AX112" s="120"/>
      <c r="AY112" s="117"/>
      <c r="AZ112" s="108"/>
      <c r="BA112" s="31"/>
      <c r="BB112" s="31"/>
      <c r="BC112" s="31"/>
      <c r="BD112" s="31"/>
      <c r="BE112" s="31"/>
      <c r="BF112" s="31"/>
    </row>
    <row r="113" spans="1:93" s="4" customFormat="1" ht="320.25" outlineLevel="1" x14ac:dyDescent="0.25">
      <c r="A113" s="97">
        <f>A110+1</f>
        <v>90</v>
      </c>
      <c r="B113" s="98" t="s">
        <v>212</v>
      </c>
      <c r="C113" s="125" t="s">
        <v>121</v>
      </c>
      <c r="D113" s="99" t="s">
        <v>19</v>
      </c>
      <c r="E113" s="100">
        <f t="shared" ref="E113:E119" si="160">F113+J113+N113+R113+V113+Z113+AD113+AH113+AL113</f>
        <v>815.93000000000006</v>
      </c>
      <c r="F113" s="101">
        <v>0</v>
      </c>
      <c r="G113" s="101">
        <v>0</v>
      </c>
      <c r="H113" s="101">
        <v>0</v>
      </c>
      <c r="I113" s="101">
        <f t="shared" si="89"/>
        <v>0</v>
      </c>
      <c r="J113" s="100">
        <v>405.9</v>
      </c>
      <c r="K113" s="101">
        <f t="shared" si="87"/>
        <v>11.864406779661017</v>
      </c>
      <c r="L113" s="101">
        <v>14</v>
      </c>
      <c r="M113" s="101">
        <f t="shared" si="90"/>
        <v>5682.5999999999995</v>
      </c>
      <c r="N113" s="102">
        <v>39.5</v>
      </c>
      <c r="O113" s="101">
        <f t="shared" si="91"/>
        <v>4.2372881355932206</v>
      </c>
      <c r="P113" s="101">
        <v>5</v>
      </c>
      <c r="Q113" s="101">
        <f t="shared" si="92"/>
        <v>197.5</v>
      </c>
      <c r="R113" s="100">
        <v>29.81</v>
      </c>
      <c r="S113" s="101">
        <f t="shared" si="93"/>
        <v>14.40677966101695</v>
      </c>
      <c r="T113" s="101">
        <v>17</v>
      </c>
      <c r="U113" s="101">
        <f t="shared" si="94"/>
        <v>506.77</v>
      </c>
      <c r="V113" s="101">
        <v>32.4</v>
      </c>
      <c r="W113" s="101">
        <f t="shared" ref="W113" si="161">X113/1.18</f>
        <v>5.9322033898305087</v>
      </c>
      <c r="X113" s="101">
        <v>7</v>
      </c>
      <c r="Y113" s="101">
        <f t="shared" si="95"/>
        <v>226.79999999999998</v>
      </c>
      <c r="Z113" s="100">
        <f>201.22+18.8</f>
        <v>220.02</v>
      </c>
      <c r="AA113" s="101">
        <f t="shared" si="96"/>
        <v>5.5084745762711869</v>
      </c>
      <c r="AB113" s="101">
        <v>6.5</v>
      </c>
      <c r="AC113" s="101">
        <f t="shared" si="97"/>
        <v>1430.13</v>
      </c>
      <c r="AD113" s="101">
        <v>0</v>
      </c>
      <c r="AE113" s="101"/>
      <c r="AF113" s="101"/>
      <c r="AG113" s="101">
        <f t="shared" si="98"/>
        <v>0</v>
      </c>
      <c r="AH113" s="102">
        <v>77.2</v>
      </c>
      <c r="AI113" s="101">
        <f t="shared" si="99"/>
        <v>7.6271186440677967</v>
      </c>
      <c r="AJ113" s="101">
        <v>9</v>
      </c>
      <c r="AK113" s="101">
        <f t="shared" si="100"/>
        <v>694.80000000000007</v>
      </c>
      <c r="AL113" s="102">
        <v>11.1</v>
      </c>
      <c r="AM113" s="101">
        <f t="shared" si="101"/>
        <v>11.864406779661017</v>
      </c>
      <c r="AN113" s="101">
        <v>14</v>
      </c>
      <c r="AO113" s="101">
        <f t="shared" si="102"/>
        <v>155.4</v>
      </c>
      <c r="AP113" s="101">
        <f t="shared" si="122"/>
        <v>7537.2881355932195</v>
      </c>
      <c r="AQ113" s="101">
        <f t="shared" ref="AQ113:AQ119" si="162">I113+M113+Q113+U113+Y113+AC113+AG113+AK113+AO113</f>
        <v>8893.9999999999982</v>
      </c>
      <c r="AR113" s="102">
        <v>425</v>
      </c>
      <c r="AS113" s="101" t="s">
        <v>270</v>
      </c>
      <c r="AT113" s="103">
        <v>0</v>
      </c>
      <c r="AU113" s="103">
        <f t="shared" si="129"/>
        <v>5.0847457627118651</v>
      </c>
      <c r="AV113" s="103">
        <v>6</v>
      </c>
      <c r="AW113" s="103">
        <f t="shared" si="104"/>
        <v>2161.0169491525426</v>
      </c>
      <c r="AX113" s="103">
        <f t="shared" si="103"/>
        <v>2550</v>
      </c>
      <c r="AY113" s="104">
        <f t="shared" si="105"/>
        <v>9698.3050847457616</v>
      </c>
      <c r="AZ113" s="105">
        <f t="shared" si="105"/>
        <v>11443.999999999998</v>
      </c>
      <c r="BA113" s="9"/>
      <c r="BB113" s="9"/>
      <c r="BC113" s="9"/>
      <c r="BD113" s="9"/>
      <c r="BE113" s="43"/>
      <c r="BF113" s="43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</row>
    <row r="114" spans="1:93" s="4" customFormat="1" ht="320.25" outlineLevel="1" x14ac:dyDescent="0.25">
      <c r="A114" s="97">
        <f>A113+1</f>
        <v>91</v>
      </c>
      <c r="B114" s="98" t="s">
        <v>212</v>
      </c>
      <c r="C114" s="125" t="s">
        <v>122</v>
      </c>
      <c r="D114" s="99" t="s">
        <v>19</v>
      </c>
      <c r="E114" s="100">
        <f t="shared" si="160"/>
        <v>171.1</v>
      </c>
      <c r="F114" s="101">
        <v>0</v>
      </c>
      <c r="G114" s="101">
        <v>0</v>
      </c>
      <c r="H114" s="101">
        <v>0</v>
      </c>
      <c r="I114" s="101">
        <f t="shared" si="89"/>
        <v>0</v>
      </c>
      <c r="J114" s="100">
        <v>78.400000000000006</v>
      </c>
      <c r="K114" s="101">
        <f t="shared" si="87"/>
        <v>11.864406779661017</v>
      </c>
      <c r="L114" s="101">
        <v>14</v>
      </c>
      <c r="M114" s="101">
        <f t="shared" si="90"/>
        <v>1097.6000000000001</v>
      </c>
      <c r="N114" s="102">
        <v>0</v>
      </c>
      <c r="O114" s="101">
        <f t="shared" si="91"/>
        <v>4.2372881355932206</v>
      </c>
      <c r="P114" s="101">
        <v>5</v>
      </c>
      <c r="Q114" s="101">
        <f t="shared" si="92"/>
        <v>0</v>
      </c>
      <c r="R114" s="100">
        <v>0</v>
      </c>
      <c r="S114" s="101">
        <f t="shared" si="93"/>
        <v>14.40677966101695</v>
      </c>
      <c r="T114" s="101">
        <v>17</v>
      </c>
      <c r="U114" s="101">
        <f t="shared" si="94"/>
        <v>0</v>
      </c>
      <c r="V114" s="101">
        <v>2.5</v>
      </c>
      <c r="W114" s="101">
        <v>4.2</v>
      </c>
      <c r="X114" s="101">
        <v>7</v>
      </c>
      <c r="Y114" s="101">
        <f t="shared" si="95"/>
        <v>17.5</v>
      </c>
      <c r="Z114" s="100">
        <f>38.9+27.7+23.6</f>
        <v>90.199999999999989</v>
      </c>
      <c r="AA114" s="101">
        <f t="shared" si="96"/>
        <v>5.5084745762711869</v>
      </c>
      <c r="AB114" s="101">
        <v>6.5</v>
      </c>
      <c r="AC114" s="101">
        <f t="shared" si="97"/>
        <v>586.29999999999995</v>
      </c>
      <c r="AD114" s="101">
        <v>0</v>
      </c>
      <c r="AE114" s="101"/>
      <c r="AF114" s="101"/>
      <c r="AG114" s="101">
        <f t="shared" si="98"/>
        <v>0</v>
      </c>
      <c r="AH114" s="102">
        <v>0</v>
      </c>
      <c r="AI114" s="101">
        <f t="shared" si="99"/>
        <v>7.6271186440677967</v>
      </c>
      <c r="AJ114" s="101">
        <v>9</v>
      </c>
      <c r="AK114" s="101">
        <f t="shared" si="100"/>
        <v>0</v>
      </c>
      <c r="AL114" s="102">
        <v>0</v>
      </c>
      <c r="AM114" s="101">
        <f t="shared" si="101"/>
        <v>11.864406779661017</v>
      </c>
      <c r="AN114" s="101">
        <v>14</v>
      </c>
      <c r="AO114" s="101">
        <f t="shared" si="102"/>
        <v>0</v>
      </c>
      <c r="AP114" s="101">
        <f t="shared" si="122"/>
        <v>1441.8644067796611</v>
      </c>
      <c r="AQ114" s="101">
        <f t="shared" si="162"/>
        <v>1701.4</v>
      </c>
      <c r="AR114" s="102">
        <v>75</v>
      </c>
      <c r="AS114" s="101" t="s">
        <v>270</v>
      </c>
      <c r="AT114" s="103">
        <v>0</v>
      </c>
      <c r="AU114" s="103">
        <f t="shared" si="129"/>
        <v>5.0847457627118651</v>
      </c>
      <c r="AV114" s="103">
        <v>6</v>
      </c>
      <c r="AW114" s="103">
        <f t="shared" si="104"/>
        <v>381.3559322033899</v>
      </c>
      <c r="AX114" s="103">
        <f t="shared" si="103"/>
        <v>450</v>
      </c>
      <c r="AY114" s="104">
        <f t="shared" si="105"/>
        <v>1823.2203389830511</v>
      </c>
      <c r="AZ114" s="105">
        <f t="shared" si="105"/>
        <v>2151.4</v>
      </c>
      <c r="BA114" s="9"/>
      <c r="BB114" s="9"/>
      <c r="BC114" s="9"/>
      <c r="BD114" s="9"/>
      <c r="BE114" s="43"/>
      <c r="BF114" s="43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</row>
    <row r="115" spans="1:93" s="4" customFormat="1" ht="274.5" outlineLevel="1" x14ac:dyDescent="0.25">
      <c r="A115" s="97">
        <f t="shared" ref="A115:A119" si="163">A114+1</f>
        <v>92</v>
      </c>
      <c r="B115" s="98" t="s">
        <v>212</v>
      </c>
      <c r="C115" s="125" t="s">
        <v>123</v>
      </c>
      <c r="D115" s="99" t="s">
        <v>19</v>
      </c>
      <c r="E115" s="100">
        <f t="shared" si="160"/>
        <v>239.5</v>
      </c>
      <c r="F115" s="101">
        <v>0</v>
      </c>
      <c r="G115" s="101">
        <v>0</v>
      </c>
      <c r="H115" s="101">
        <v>0</v>
      </c>
      <c r="I115" s="101">
        <f t="shared" si="89"/>
        <v>0</v>
      </c>
      <c r="J115" s="100">
        <v>15.6</v>
      </c>
      <c r="K115" s="101">
        <f t="shared" si="87"/>
        <v>11.864406779661017</v>
      </c>
      <c r="L115" s="101">
        <v>14</v>
      </c>
      <c r="M115" s="101">
        <f t="shared" si="90"/>
        <v>218.4</v>
      </c>
      <c r="N115" s="102">
        <v>77.900000000000006</v>
      </c>
      <c r="O115" s="101">
        <f t="shared" si="91"/>
        <v>4.2372881355932206</v>
      </c>
      <c r="P115" s="101">
        <v>5</v>
      </c>
      <c r="Q115" s="101">
        <f t="shared" si="92"/>
        <v>389.5</v>
      </c>
      <c r="R115" s="100">
        <v>57.7</v>
      </c>
      <c r="S115" s="101">
        <f t="shared" si="93"/>
        <v>14.40677966101695</v>
      </c>
      <c r="T115" s="101">
        <v>17</v>
      </c>
      <c r="U115" s="101">
        <f t="shared" si="94"/>
        <v>980.90000000000009</v>
      </c>
      <c r="V115" s="101">
        <v>0</v>
      </c>
      <c r="W115" s="101">
        <f t="shared" ref="W115:W117" si="164">X115/1.18</f>
        <v>5.9322033898305087</v>
      </c>
      <c r="X115" s="101">
        <v>7</v>
      </c>
      <c r="Y115" s="101">
        <f t="shared" si="95"/>
        <v>0</v>
      </c>
      <c r="Z115" s="100">
        <v>86.5</v>
      </c>
      <c r="AA115" s="101">
        <f t="shared" si="96"/>
        <v>5.5084745762711869</v>
      </c>
      <c r="AB115" s="101">
        <v>6.5</v>
      </c>
      <c r="AC115" s="101">
        <f t="shared" si="97"/>
        <v>562.25</v>
      </c>
      <c r="AD115" s="101">
        <v>0</v>
      </c>
      <c r="AE115" s="101"/>
      <c r="AF115" s="101"/>
      <c r="AG115" s="101">
        <f t="shared" si="98"/>
        <v>0</v>
      </c>
      <c r="AH115" s="102">
        <v>0</v>
      </c>
      <c r="AI115" s="101">
        <f t="shared" si="99"/>
        <v>7.6271186440677967</v>
      </c>
      <c r="AJ115" s="101">
        <v>9</v>
      </c>
      <c r="AK115" s="101">
        <f t="shared" si="100"/>
        <v>0</v>
      </c>
      <c r="AL115" s="102">
        <v>1.8</v>
      </c>
      <c r="AM115" s="101">
        <f t="shared" si="101"/>
        <v>11.864406779661017</v>
      </c>
      <c r="AN115" s="101">
        <v>14</v>
      </c>
      <c r="AO115" s="101">
        <f t="shared" si="102"/>
        <v>25.2</v>
      </c>
      <c r="AP115" s="101">
        <f t="shared" si="122"/>
        <v>1844.2796610169491</v>
      </c>
      <c r="AQ115" s="101">
        <f t="shared" si="162"/>
        <v>2176.25</v>
      </c>
      <c r="AR115" s="102">
        <v>200</v>
      </c>
      <c r="AS115" s="101" t="s">
        <v>270</v>
      </c>
      <c r="AT115" s="103">
        <v>0</v>
      </c>
      <c r="AU115" s="103">
        <f t="shared" si="129"/>
        <v>5.0847457627118651</v>
      </c>
      <c r="AV115" s="103">
        <v>6</v>
      </c>
      <c r="AW115" s="103">
        <f t="shared" si="104"/>
        <v>1016.949152542373</v>
      </c>
      <c r="AX115" s="103">
        <f t="shared" si="103"/>
        <v>1200</v>
      </c>
      <c r="AY115" s="104">
        <f t="shared" si="105"/>
        <v>2861.2288135593221</v>
      </c>
      <c r="AZ115" s="105">
        <f t="shared" si="105"/>
        <v>3376.25</v>
      </c>
      <c r="BA115" s="9"/>
      <c r="BB115" s="9"/>
      <c r="BC115" s="9"/>
      <c r="BD115" s="9"/>
      <c r="BE115" s="43"/>
      <c r="BF115" s="43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</row>
    <row r="116" spans="1:93" s="4" customFormat="1" ht="320.25" outlineLevel="1" x14ac:dyDescent="0.25">
      <c r="A116" s="97">
        <f t="shared" si="163"/>
        <v>93</v>
      </c>
      <c r="B116" s="98" t="s">
        <v>211</v>
      </c>
      <c r="C116" s="125" t="s">
        <v>124</v>
      </c>
      <c r="D116" s="99" t="s">
        <v>19</v>
      </c>
      <c r="E116" s="100">
        <f t="shared" si="160"/>
        <v>700.25</v>
      </c>
      <c r="F116" s="101">
        <v>0</v>
      </c>
      <c r="G116" s="101">
        <v>0</v>
      </c>
      <c r="H116" s="101">
        <v>0</v>
      </c>
      <c r="I116" s="101">
        <f t="shared" si="89"/>
        <v>0</v>
      </c>
      <c r="J116" s="100">
        <v>396.5</v>
      </c>
      <c r="K116" s="101">
        <f t="shared" si="87"/>
        <v>11.864406779661017</v>
      </c>
      <c r="L116" s="101">
        <v>14</v>
      </c>
      <c r="M116" s="101">
        <f t="shared" si="90"/>
        <v>5551</v>
      </c>
      <c r="N116" s="102">
        <v>58</v>
      </c>
      <c r="O116" s="101">
        <f t="shared" si="91"/>
        <v>4.2372881355932206</v>
      </c>
      <c r="P116" s="101">
        <v>5</v>
      </c>
      <c r="Q116" s="101">
        <f t="shared" si="92"/>
        <v>290</v>
      </c>
      <c r="R116" s="100">
        <v>0</v>
      </c>
      <c r="S116" s="101">
        <f t="shared" si="93"/>
        <v>14.40677966101695</v>
      </c>
      <c r="T116" s="101">
        <v>17</v>
      </c>
      <c r="U116" s="101">
        <f t="shared" si="94"/>
        <v>0</v>
      </c>
      <c r="V116" s="101">
        <v>22.9</v>
      </c>
      <c r="W116" s="101">
        <f t="shared" si="164"/>
        <v>5.9322033898305087</v>
      </c>
      <c r="X116" s="101">
        <v>7</v>
      </c>
      <c r="Y116" s="101">
        <f t="shared" si="95"/>
        <v>160.29999999999998</v>
      </c>
      <c r="Z116" s="100">
        <v>201.65</v>
      </c>
      <c r="AA116" s="101">
        <f t="shared" si="96"/>
        <v>5.5084745762711869</v>
      </c>
      <c r="AB116" s="101">
        <v>6.5</v>
      </c>
      <c r="AC116" s="101">
        <f t="shared" si="97"/>
        <v>1310.7250000000001</v>
      </c>
      <c r="AD116" s="101">
        <v>0</v>
      </c>
      <c r="AE116" s="101"/>
      <c r="AF116" s="101"/>
      <c r="AG116" s="101">
        <f t="shared" si="98"/>
        <v>0</v>
      </c>
      <c r="AH116" s="102">
        <v>0</v>
      </c>
      <c r="AI116" s="101">
        <f t="shared" si="99"/>
        <v>7.6271186440677967</v>
      </c>
      <c r="AJ116" s="101">
        <v>9</v>
      </c>
      <c r="AK116" s="101">
        <f t="shared" si="100"/>
        <v>0</v>
      </c>
      <c r="AL116" s="102">
        <v>21.2</v>
      </c>
      <c r="AM116" s="101">
        <f t="shared" si="101"/>
        <v>11.864406779661017</v>
      </c>
      <c r="AN116" s="101">
        <v>14</v>
      </c>
      <c r="AO116" s="101">
        <f t="shared" si="102"/>
        <v>296.8</v>
      </c>
      <c r="AP116" s="101">
        <f t="shared" si="122"/>
        <v>6448.1567796610179</v>
      </c>
      <c r="AQ116" s="101">
        <f t="shared" si="162"/>
        <v>7608.8250000000007</v>
      </c>
      <c r="AR116" s="102">
        <f>125+125</f>
        <v>250</v>
      </c>
      <c r="AS116" s="101" t="s">
        <v>270</v>
      </c>
      <c r="AT116" s="103">
        <v>0</v>
      </c>
      <c r="AU116" s="103">
        <f t="shared" si="129"/>
        <v>5.0847457627118651</v>
      </c>
      <c r="AV116" s="103">
        <v>6</v>
      </c>
      <c r="AW116" s="103">
        <f t="shared" si="104"/>
        <v>1271.1864406779662</v>
      </c>
      <c r="AX116" s="103">
        <f t="shared" si="103"/>
        <v>1500</v>
      </c>
      <c r="AY116" s="104">
        <f t="shared" si="105"/>
        <v>7719.3432203389839</v>
      </c>
      <c r="AZ116" s="105">
        <f t="shared" si="105"/>
        <v>9108.8250000000007</v>
      </c>
      <c r="BA116" s="9"/>
      <c r="BB116" s="9"/>
      <c r="BC116" s="9"/>
      <c r="BD116" s="9"/>
      <c r="BE116" s="43"/>
      <c r="BF116" s="43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</row>
    <row r="117" spans="1:93" s="4" customFormat="1" ht="320.25" outlineLevel="1" x14ac:dyDescent="0.25">
      <c r="A117" s="97">
        <f t="shared" si="163"/>
        <v>94</v>
      </c>
      <c r="B117" s="98" t="s">
        <v>211</v>
      </c>
      <c r="C117" s="125" t="s">
        <v>125</v>
      </c>
      <c r="D117" s="99" t="s">
        <v>19</v>
      </c>
      <c r="E117" s="100">
        <f t="shared" si="160"/>
        <v>465.71</v>
      </c>
      <c r="F117" s="101">
        <v>0</v>
      </c>
      <c r="G117" s="101">
        <v>0</v>
      </c>
      <c r="H117" s="101">
        <v>0</v>
      </c>
      <c r="I117" s="101">
        <f t="shared" si="89"/>
        <v>0</v>
      </c>
      <c r="J117" s="100">
        <v>181.6</v>
      </c>
      <c r="K117" s="101">
        <f t="shared" si="87"/>
        <v>11.864406779661017</v>
      </c>
      <c r="L117" s="101">
        <v>14</v>
      </c>
      <c r="M117" s="101">
        <f t="shared" si="90"/>
        <v>2542.4</v>
      </c>
      <c r="N117" s="102">
        <v>42.5</v>
      </c>
      <c r="O117" s="101">
        <f t="shared" si="91"/>
        <v>4.2372881355932206</v>
      </c>
      <c r="P117" s="101">
        <v>5</v>
      </c>
      <c r="Q117" s="101">
        <f t="shared" si="92"/>
        <v>212.5</v>
      </c>
      <c r="R117" s="100">
        <v>54.4</v>
      </c>
      <c r="S117" s="101">
        <f t="shared" si="93"/>
        <v>14.40677966101695</v>
      </c>
      <c r="T117" s="101">
        <v>17</v>
      </c>
      <c r="U117" s="101">
        <f t="shared" si="94"/>
        <v>924.8</v>
      </c>
      <c r="V117" s="101">
        <f>10.7</f>
        <v>10.7</v>
      </c>
      <c r="W117" s="101">
        <f t="shared" si="164"/>
        <v>5.9322033898305087</v>
      </c>
      <c r="X117" s="101">
        <v>7</v>
      </c>
      <c r="Y117" s="101">
        <f t="shared" si="95"/>
        <v>74.899999999999991</v>
      </c>
      <c r="Z117" s="100">
        <v>159.51</v>
      </c>
      <c r="AA117" s="101">
        <f t="shared" si="96"/>
        <v>5.5084745762711869</v>
      </c>
      <c r="AB117" s="101">
        <v>6.5</v>
      </c>
      <c r="AC117" s="101">
        <f t="shared" si="97"/>
        <v>1036.8150000000001</v>
      </c>
      <c r="AD117" s="101">
        <v>0</v>
      </c>
      <c r="AE117" s="101"/>
      <c r="AF117" s="101"/>
      <c r="AG117" s="101">
        <f t="shared" si="98"/>
        <v>0</v>
      </c>
      <c r="AH117" s="102">
        <v>0</v>
      </c>
      <c r="AI117" s="101">
        <f t="shared" si="99"/>
        <v>7.6271186440677967</v>
      </c>
      <c r="AJ117" s="101">
        <v>9</v>
      </c>
      <c r="AK117" s="101">
        <f t="shared" si="100"/>
        <v>0</v>
      </c>
      <c r="AL117" s="102">
        <v>17</v>
      </c>
      <c r="AM117" s="101">
        <f t="shared" si="101"/>
        <v>11.864406779661017</v>
      </c>
      <c r="AN117" s="101">
        <v>14</v>
      </c>
      <c r="AO117" s="101">
        <f t="shared" si="102"/>
        <v>238</v>
      </c>
      <c r="AP117" s="101">
        <f t="shared" si="122"/>
        <v>4262.2161016949158</v>
      </c>
      <c r="AQ117" s="101">
        <f t="shared" si="162"/>
        <v>5029.415</v>
      </c>
      <c r="AR117" s="102">
        <f>375+500</f>
        <v>875</v>
      </c>
      <c r="AS117" s="101" t="s">
        <v>270</v>
      </c>
      <c r="AT117" s="103">
        <v>0</v>
      </c>
      <c r="AU117" s="103">
        <f t="shared" si="129"/>
        <v>5.0847457627118651</v>
      </c>
      <c r="AV117" s="103">
        <v>6</v>
      </c>
      <c r="AW117" s="103">
        <f t="shared" si="104"/>
        <v>4449.1525423728817</v>
      </c>
      <c r="AX117" s="103">
        <f t="shared" si="103"/>
        <v>5250</v>
      </c>
      <c r="AY117" s="104">
        <f t="shared" si="105"/>
        <v>8711.3686440677975</v>
      </c>
      <c r="AZ117" s="105">
        <f t="shared" si="105"/>
        <v>10279.415000000001</v>
      </c>
      <c r="BA117" s="9"/>
      <c r="BB117" s="9"/>
      <c r="BC117" s="9"/>
      <c r="BD117" s="9"/>
      <c r="BE117" s="43"/>
      <c r="BF117" s="43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</row>
    <row r="118" spans="1:93" s="4" customFormat="1" ht="274.5" outlineLevel="1" x14ac:dyDescent="0.25">
      <c r="A118" s="97">
        <f t="shared" si="163"/>
        <v>95</v>
      </c>
      <c r="B118" s="98" t="s">
        <v>211</v>
      </c>
      <c r="C118" s="125" t="s">
        <v>126</v>
      </c>
      <c r="D118" s="99" t="s">
        <v>19</v>
      </c>
      <c r="E118" s="100">
        <f t="shared" si="160"/>
        <v>607.6</v>
      </c>
      <c r="F118" s="101">
        <v>0</v>
      </c>
      <c r="G118" s="101">
        <v>0</v>
      </c>
      <c r="H118" s="101">
        <v>0</v>
      </c>
      <c r="I118" s="101">
        <f t="shared" si="89"/>
        <v>0</v>
      </c>
      <c r="J118" s="100">
        <v>334</v>
      </c>
      <c r="K118" s="101">
        <f t="shared" si="87"/>
        <v>11.864406779661017</v>
      </c>
      <c r="L118" s="101">
        <v>14</v>
      </c>
      <c r="M118" s="101">
        <f t="shared" si="90"/>
        <v>4676</v>
      </c>
      <c r="N118" s="102">
        <v>36.9</v>
      </c>
      <c r="O118" s="101">
        <f t="shared" si="91"/>
        <v>4.2372881355932206</v>
      </c>
      <c r="P118" s="101">
        <v>5</v>
      </c>
      <c r="Q118" s="101">
        <f t="shared" si="92"/>
        <v>184.5</v>
      </c>
      <c r="R118" s="100">
        <v>35.9</v>
      </c>
      <c r="S118" s="101">
        <f t="shared" si="93"/>
        <v>14.40677966101695</v>
      </c>
      <c r="T118" s="101">
        <v>17</v>
      </c>
      <c r="U118" s="101">
        <f t="shared" si="94"/>
        <v>610.29999999999995</v>
      </c>
      <c r="V118" s="101">
        <v>26.1</v>
      </c>
      <c r="W118" s="101">
        <v>4.2</v>
      </c>
      <c r="X118" s="101">
        <v>7</v>
      </c>
      <c r="Y118" s="101">
        <f t="shared" si="95"/>
        <v>182.70000000000002</v>
      </c>
      <c r="Z118" s="100">
        <v>162.6</v>
      </c>
      <c r="AA118" s="101">
        <f t="shared" si="96"/>
        <v>5.5084745762711869</v>
      </c>
      <c r="AB118" s="101">
        <v>6.5</v>
      </c>
      <c r="AC118" s="101">
        <f t="shared" si="97"/>
        <v>1056.8999999999999</v>
      </c>
      <c r="AD118" s="101">
        <v>0</v>
      </c>
      <c r="AE118" s="101"/>
      <c r="AF118" s="101"/>
      <c r="AG118" s="101">
        <f t="shared" si="98"/>
        <v>0</v>
      </c>
      <c r="AH118" s="102">
        <v>0</v>
      </c>
      <c r="AI118" s="101">
        <f t="shared" si="99"/>
        <v>7.6271186440677967</v>
      </c>
      <c r="AJ118" s="101">
        <v>9</v>
      </c>
      <c r="AK118" s="101">
        <f t="shared" si="100"/>
        <v>0</v>
      </c>
      <c r="AL118" s="102">
        <v>12.1</v>
      </c>
      <c r="AM118" s="101">
        <f t="shared" si="101"/>
        <v>11.864406779661017</v>
      </c>
      <c r="AN118" s="101">
        <v>14</v>
      </c>
      <c r="AO118" s="101">
        <f t="shared" si="102"/>
        <v>169.4</v>
      </c>
      <c r="AP118" s="101">
        <f t="shared" si="122"/>
        <v>5830.3389830508468</v>
      </c>
      <c r="AQ118" s="101">
        <f t="shared" si="162"/>
        <v>6879.7999999999993</v>
      </c>
      <c r="AR118" s="102">
        <f>300+200</f>
        <v>500</v>
      </c>
      <c r="AS118" s="101" t="s">
        <v>270</v>
      </c>
      <c r="AT118" s="103">
        <v>0</v>
      </c>
      <c r="AU118" s="103">
        <f t="shared" si="129"/>
        <v>5.0847457627118651</v>
      </c>
      <c r="AV118" s="103">
        <v>6</v>
      </c>
      <c r="AW118" s="103">
        <f t="shared" si="104"/>
        <v>2542.3728813559323</v>
      </c>
      <c r="AX118" s="103">
        <f t="shared" si="103"/>
        <v>3000</v>
      </c>
      <c r="AY118" s="104">
        <f t="shared" si="105"/>
        <v>8372.7118644067796</v>
      </c>
      <c r="AZ118" s="105">
        <f t="shared" si="105"/>
        <v>9879.7999999999993</v>
      </c>
      <c r="BA118" s="9"/>
      <c r="BB118" s="9"/>
      <c r="BC118" s="9"/>
      <c r="BD118" s="9"/>
      <c r="BE118" s="43"/>
      <c r="BF118" s="43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</row>
    <row r="119" spans="1:93" s="4" customFormat="1" ht="320.25" outlineLevel="1" x14ac:dyDescent="0.25">
      <c r="A119" s="97">
        <f t="shared" si="163"/>
        <v>96</v>
      </c>
      <c r="B119" s="98" t="s">
        <v>211</v>
      </c>
      <c r="C119" s="125" t="s">
        <v>127</v>
      </c>
      <c r="D119" s="99" t="s">
        <v>19</v>
      </c>
      <c r="E119" s="100">
        <f t="shared" si="160"/>
        <v>610.6</v>
      </c>
      <c r="F119" s="101">
        <v>0</v>
      </c>
      <c r="G119" s="101">
        <v>0</v>
      </c>
      <c r="H119" s="101">
        <v>0</v>
      </c>
      <c r="I119" s="101">
        <f t="shared" si="89"/>
        <v>0</v>
      </c>
      <c r="J119" s="100">
        <v>238.6</v>
      </c>
      <c r="K119" s="101">
        <f t="shared" si="87"/>
        <v>11.864406779661017</v>
      </c>
      <c r="L119" s="101">
        <v>14</v>
      </c>
      <c r="M119" s="101">
        <f t="shared" si="90"/>
        <v>3340.4</v>
      </c>
      <c r="N119" s="102">
        <v>32.4</v>
      </c>
      <c r="O119" s="101">
        <f t="shared" si="91"/>
        <v>4.2372881355932206</v>
      </c>
      <c r="P119" s="101">
        <v>5</v>
      </c>
      <c r="Q119" s="101">
        <f t="shared" si="92"/>
        <v>162</v>
      </c>
      <c r="R119" s="100">
        <v>42</v>
      </c>
      <c r="S119" s="101">
        <f t="shared" si="93"/>
        <v>14.40677966101695</v>
      </c>
      <c r="T119" s="101">
        <v>17</v>
      </c>
      <c r="U119" s="101">
        <f t="shared" si="94"/>
        <v>714</v>
      </c>
      <c r="V119" s="101">
        <v>22.8</v>
      </c>
      <c r="W119" s="101">
        <f t="shared" ref="W119:W121" si="165">X119/1.18</f>
        <v>5.9322033898305087</v>
      </c>
      <c r="X119" s="101">
        <v>7</v>
      </c>
      <c r="Y119" s="101">
        <f t="shared" si="95"/>
        <v>159.6</v>
      </c>
      <c r="Z119" s="100">
        <v>237.2</v>
      </c>
      <c r="AA119" s="101">
        <f t="shared" si="96"/>
        <v>5.5084745762711869</v>
      </c>
      <c r="AB119" s="101">
        <v>6.5</v>
      </c>
      <c r="AC119" s="101">
        <f t="shared" si="97"/>
        <v>1541.8</v>
      </c>
      <c r="AD119" s="101">
        <v>0</v>
      </c>
      <c r="AE119" s="101"/>
      <c r="AF119" s="101"/>
      <c r="AG119" s="101">
        <f t="shared" si="98"/>
        <v>0</v>
      </c>
      <c r="AH119" s="102">
        <v>0</v>
      </c>
      <c r="AI119" s="101">
        <f t="shared" si="99"/>
        <v>7.6271186440677967</v>
      </c>
      <c r="AJ119" s="101">
        <v>9</v>
      </c>
      <c r="AK119" s="101">
        <f t="shared" si="100"/>
        <v>0</v>
      </c>
      <c r="AL119" s="102">
        <v>37.6</v>
      </c>
      <c r="AM119" s="101">
        <f t="shared" si="101"/>
        <v>11.864406779661017</v>
      </c>
      <c r="AN119" s="101">
        <v>14</v>
      </c>
      <c r="AO119" s="101">
        <f t="shared" si="102"/>
        <v>526.4</v>
      </c>
      <c r="AP119" s="101">
        <f t="shared" si="122"/>
        <v>5461.1864406779659</v>
      </c>
      <c r="AQ119" s="101">
        <f t="shared" si="162"/>
        <v>6444.2</v>
      </c>
      <c r="AR119" s="102">
        <v>200</v>
      </c>
      <c r="AS119" s="101" t="s">
        <v>270</v>
      </c>
      <c r="AT119" s="103">
        <v>0</v>
      </c>
      <c r="AU119" s="103">
        <f t="shared" si="129"/>
        <v>5.0847457627118651</v>
      </c>
      <c r="AV119" s="103">
        <v>6</v>
      </c>
      <c r="AW119" s="103">
        <f t="shared" si="104"/>
        <v>1016.949152542373</v>
      </c>
      <c r="AX119" s="103">
        <f t="shared" si="103"/>
        <v>1200</v>
      </c>
      <c r="AY119" s="104">
        <f t="shared" si="105"/>
        <v>6478.1355932203387</v>
      </c>
      <c r="AZ119" s="105">
        <f t="shared" si="105"/>
        <v>7644.2</v>
      </c>
      <c r="BA119" s="9"/>
      <c r="BB119" s="9"/>
      <c r="BC119" s="9"/>
      <c r="BD119" s="9"/>
      <c r="BE119" s="43"/>
      <c r="BF119" s="43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</row>
    <row r="120" spans="1:93" s="29" customFormat="1" ht="45.75" outlineLevel="1" x14ac:dyDescent="0.3">
      <c r="A120" s="145" t="s">
        <v>67</v>
      </c>
      <c r="B120" s="146"/>
      <c r="C120" s="146"/>
      <c r="D120" s="120"/>
      <c r="E120" s="100"/>
      <c r="F120" s="120"/>
      <c r="G120" s="101">
        <v>0</v>
      </c>
      <c r="H120" s="101">
        <v>0</v>
      </c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07"/>
      <c r="AQ120" s="107"/>
      <c r="AR120" s="120"/>
      <c r="AS120" s="101"/>
      <c r="AT120" s="120"/>
      <c r="AU120" s="120"/>
      <c r="AV120" s="120"/>
      <c r="AW120" s="120"/>
      <c r="AX120" s="120"/>
      <c r="AY120" s="107"/>
      <c r="AZ120" s="108"/>
      <c r="BA120" s="28"/>
      <c r="BB120" s="28"/>
      <c r="BC120" s="28"/>
      <c r="BD120" s="28"/>
      <c r="BE120" s="28"/>
      <c r="BF120" s="28"/>
    </row>
    <row r="121" spans="1:93" s="4" customFormat="1" ht="274.5" outlineLevel="1" x14ac:dyDescent="0.25">
      <c r="A121" s="97">
        <f>A119+1</f>
        <v>97</v>
      </c>
      <c r="B121" s="98" t="s">
        <v>211</v>
      </c>
      <c r="C121" s="125" t="s">
        <v>128</v>
      </c>
      <c r="D121" s="99" t="s">
        <v>19</v>
      </c>
      <c r="E121" s="100">
        <f>F121+J121+N121+R121+V121+Z121+AD121+AH121+AL121</f>
        <v>769.3</v>
      </c>
      <c r="F121" s="101">
        <v>0</v>
      </c>
      <c r="G121" s="101">
        <v>0</v>
      </c>
      <c r="H121" s="101">
        <v>0</v>
      </c>
      <c r="I121" s="101">
        <f t="shared" si="89"/>
        <v>0</v>
      </c>
      <c r="J121" s="100">
        <v>117.8</v>
      </c>
      <c r="K121" s="101">
        <f t="shared" si="87"/>
        <v>11.864406779661017</v>
      </c>
      <c r="L121" s="101">
        <v>14</v>
      </c>
      <c r="M121" s="101">
        <f t="shared" si="90"/>
        <v>1649.2</v>
      </c>
      <c r="N121" s="102">
        <v>136.9</v>
      </c>
      <c r="O121" s="101">
        <f t="shared" si="91"/>
        <v>4.2372881355932206</v>
      </c>
      <c r="P121" s="101">
        <v>5</v>
      </c>
      <c r="Q121" s="101">
        <f t="shared" si="92"/>
        <v>684.5</v>
      </c>
      <c r="R121" s="100">
        <v>110.1</v>
      </c>
      <c r="S121" s="101">
        <f t="shared" si="93"/>
        <v>14.40677966101695</v>
      </c>
      <c r="T121" s="101">
        <v>17</v>
      </c>
      <c r="U121" s="101">
        <f t="shared" si="94"/>
        <v>1871.6999999999998</v>
      </c>
      <c r="V121" s="101">
        <v>58.9</v>
      </c>
      <c r="W121" s="101">
        <f t="shared" si="165"/>
        <v>5.9322033898305087</v>
      </c>
      <c r="X121" s="101">
        <v>7</v>
      </c>
      <c r="Y121" s="101">
        <f t="shared" si="95"/>
        <v>412.3</v>
      </c>
      <c r="Z121" s="100">
        <v>164.1</v>
      </c>
      <c r="AA121" s="101">
        <f t="shared" si="96"/>
        <v>5.5084745762711869</v>
      </c>
      <c r="AB121" s="101">
        <v>6.5</v>
      </c>
      <c r="AC121" s="101">
        <f t="shared" si="97"/>
        <v>1066.6499999999999</v>
      </c>
      <c r="AD121" s="101">
        <v>0</v>
      </c>
      <c r="AE121" s="101"/>
      <c r="AF121" s="101"/>
      <c r="AG121" s="101">
        <f t="shared" si="98"/>
        <v>0</v>
      </c>
      <c r="AH121" s="102">
        <v>172.6</v>
      </c>
      <c r="AI121" s="101">
        <f t="shared" si="99"/>
        <v>7.6271186440677967</v>
      </c>
      <c r="AJ121" s="101">
        <v>9</v>
      </c>
      <c r="AK121" s="101">
        <f t="shared" si="100"/>
        <v>1553.3999999999999</v>
      </c>
      <c r="AL121" s="102">
        <v>8.9</v>
      </c>
      <c r="AM121" s="101">
        <f t="shared" si="101"/>
        <v>11.864406779661017</v>
      </c>
      <c r="AN121" s="101">
        <v>14</v>
      </c>
      <c r="AO121" s="101">
        <f t="shared" si="102"/>
        <v>124.60000000000001</v>
      </c>
      <c r="AP121" s="101">
        <f t="shared" si="122"/>
        <v>6239.2796610169489</v>
      </c>
      <c r="AQ121" s="101">
        <f>I121+M121+Q121+U121+Y121+AC121+AG121+AK121+AO121</f>
        <v>7362.3499999999995</v>
      </c>
      <c r="AR121" s="102">
        <v>1200</v>
      </c>
      <c r="AS121" s="101" t="s">
        <v>270</v>
      </c>
      <c r="AT121" s="103">
        <v>0</v>
      </c>
      <c r="AU121" s="103">
        <f t="shared" si="129"/>
        <v>5.0847457627118651</v>
      </c>
      <c r="AV121" s="103">
        <v>6</v>
      </c>
      <c r="AW121" s="103">
        <f t="shared" si="104"/>
        <v>6101.6949152542384</v>
      </c>
      <c r="AX121" s="103">
        <f t="shared" si="103"/>
        <v>7200</v>
      </c>
      <c r="AY121" s="104">
        <f t="shared" si="105"/>
        <v>12340.974576271186</v>
      </c>
      <c r="AZ121" s="105">
        <f t="shared" si="105"/>
        <v>14562.349999999999</v>
      </c>
      <c r="BA121" s="9"/>
      <c r="BB121" s="9"/>
      <c r="BC121" s="9"/>
      <c r="BD121" s="9"/>
      <c r="BE121" s="43"/>
      <c r="BF121" s="43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</row>
    <row r="122" spans="1:93" s="4" customFormat="1" ht="183" outlineLevel="1" x14ac:dyDescent="0.25">
      <c r="A122" s="97">
        <f>A121+1</f>
        <v>98</v>
      </c>
      <c r="B122" s="98" t="s">
        <v>211</v>
      </c>
      <c r="C122" s="125" t="s">
        <v>129</v>
      </c>
      <c r="D122" s="99" t="s">
        <v>19</v>
      </c>
      <c r="E122" s="100">
        <f>F122+J122+N122+R122+V122+Z122+AD122+AH122+AL122</f>
        <v>781.7</v>
      </c>
      <c r="F122" s="101">
        <v>0</v>
      </c>
      <c r="G122" s="101">
        <v>0</v>
      </c>
      <c r="H122" s="101">
        <v>0</v>
      </c>
      <c r="I122" s="101">
        <f t="shared" si="89"/>
        <v>0</v>
      </c>
      <c r="J122" s="100">
        <v>218.5</v>
      </c>
      <c r="K122" s="101">
        <f t="shared" si="87"/>
        <v>11.864406779661017</v>
      </c>
      <c r="L122" s="101">
        <v>14</v>
      </c>
      <c r="M122" s="101">
        <f t="shared" si="90"/>
        <v>3059</v>
      </c>
      <c r="N122" s="102">
        <v>70.5</v>
      </c>
      <c r="O122" s="101">
        <f t="shared" si="91"/>
        <v>4.2372881355932206</v>
      </c>
      <c r="P122" s="101">
        <v>5</v>
      </c>
      <c r="Q122" s="101">
        <f t="shared" si="92"/>
        <v>352.5</v>
      </c>
      <c r="R122" s="100">
        <v>84.1</v>
      </c>
      <c r="S122" s="101">
        <f t="shared" si="93"/>
        <v>14.40677966101695</v>
      </c>
      <c r="T122" s="101">
        <v>17</v>
      </c>
      <c r="U122" s="101">
        <f t="shared" si="94"/>
        <v>1429.6999999999998</v>
      </c>
      <c r="V122" s="101">
        <v>21.3</v>
      </c>
      <c r="W122" s="101">
        <v>4.2</v>
      </c>
      <c r="X122" s="101">
        <v>7</v>
      </c>
      <c r="Y122" s="101">
        <f t="shared" si="95"/>
        <v>149.1</v>
      </c>
      <c r="Z122" s="100">
        <v>215.5</v>
      </c>
      <c r="AA122" s="101">
        <f t="shared" si="96"/>
        <v>5.5084745762711869</v>
      </c>
      <c r="AB122" s="101">
        <v>6.5</v>
      </c>
      <c r="AC122" s="101">
        <f t="shared" si="97"/>
        <v>1400.75</v>
      </c>
      <c r="AD122" s="101">
        <v>0</v>
      </c>
      <c r="AE122" s="101"/>
      <c r="AF122" s="101"/>
      <c r="AG122" s="101">
        <f t="shared" si="98"/>
        <v>0</v>
      </c>
      <c r="AH122" s="102">
        <v>159.5</v>
      </c>
      <c r="AI122" s="101">
        <f t="shared" si="99"/>
        <v>7.6271186440677967</v>
      </c>
      <c r="AJ122" s="101">
        <v>9</v>
      </c>
      <c r="AK122" s="101">
        <f t="shared" si="100"/>
        <v>1435.5</v>
      </c>
      <c r="AL122" s="102">
        <v>12.3</v>
      </c>
      <c r="AM122" s="101">
        <f t="shared" si="101"/>
        <v>11.864406779661017</v>
      </c>
      <c r="AN122" s="101">
        <v>14</v>
      </c>
      <c r="AO122" s="101">
        <f t="shared" si="102"/>
        <v>172.20000000000002</v>
      </c>
      <c r="AP122" s="101">
        <f t="shared" si="122"/>
        <v>6778.6016949152545</v>
      </c>
      <c r="AQ122" s="101">
        <f>I122+M122+Q122+U122+Y122+AC122+AG122+AK122+AO122</f>
        <v>7998.75</v>
      </c>
      <c r="AR122" s="102">
        <v>2500</v>
      </c>
      <c r="AS122" s="101" t="s">
        <v>270</v>
      </c>
      <c r="AT122" s="103">
        <v>0</v>
      </c>
      <c r="AU122" s="103">
        <f t="shared" si="129"/>
        <v>5.0847457627118651</v>
      </c>
      <c r="AV122" s="103">
        <v>6</v>
      </c>
      <c r="AW122" s="103">
        <f t="shared" si="104"/>
        <v>12711.864406779663</v>
      </c>
      <c r="AX122" s="103">
        <f t="shared" si="103"/>
        <v>15000</v>
      </c>
      <c r="AY122" s="104">
        <f t="shared" si="105"/>
        <v>19490.466101694918</v>
      </c>
      <c r="AZ122" s="105">
        <f t="shared" si="105"/>
        <v>22998.75</v>
      </c>
      <c r="BA122" s="9"/>
      <c r="BB122" s="9"/>
      <c r="BC122" s="9"/>
      <c r="BD122" s="9"/>
      <c r="BE122" s="43"/>
      <c r="BF122" s="43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</row>
    <row r="123" spans="1:93" s="4" customFormat="1" ht="274.5" outlineLevel="1" x14ac:dyDescent="0.25">
      <c r="A123" s="97">
        <f>A122+1</f>
        <v>99</v>
      </c>
      <c r="B123" s="98" t="s">
        <v>211</v>
      </c>
      <c r="C123" s="125" t="s">
        <v>130</v>
      </c>
      <c r="D123" s="99" t="s">
        <v>19</v>
      </c>
      <c r="E123" s="100">
        <f>F123+J123+N123+R123+V123+Z123+AD123+AH123+AL123</f>
        <v>541.20000000000005</v>
      </c>
      <c r="F123" s="101">
        <v>0</v>
      </c>
      <c r="G123" s="101">
        <v>0</v>
      </c>
      <c r="H123" s="101">
        <v>0</v>
      </c>
      <c r="I123" s="101">
        <f t="shared" si="89"/>
        <v>0</v>
      </c>
      <c r="J123" s="100">
        <v>166.2</v>
      </c>
      <c r="K123" s="101">
        <f t="shared" si="87"/>
        <v>11.864406779661017</v>
      </c>
      <c r="L123" s="101">
        <v>14</v>
      </c>
      <c r="M123" s="101">
        <f t="shared" si="90"/>
        <v>2326.7999999999997</v>
      </c>
      <c r="N123" s="102">
        <v>34.200000000000003</v>
      </c>
      <c r="O123" s="101">
        <f t="shared" si="91"/>
        <v>4.2372881355932206</v>
      </c>
      <c r="P123" s="101">
        <v>5</v>
      </c>
      <c r="Q123" s="101">
        <f t="shared" si="92"/>
        <v>171</v>
      </c>
      <c r="R123" s="100">
        <v>61.8</v>
      </c>
      <c r="S123" s="101">
        <f t="shared" si="93"/>
        <v>14.40677966101695</v>
      </c>
      <c r="T123" s="101">
        <v>17</v>
      </c>
      <c r="U123" s="101">
        <f t="shared" si="94"/>
        <v>1050.5999999999999</v>
      </c>
      <c r="V123" s="101">
        <v>49.1</v>
      </c>
      <c r="W123" s="101">
        <f t="shared" ref="W123:W125" si="166">X123/1.18</f>
        <v>5.9322033898305087</v>
      </c>
      <c r="X123" s="101">
        <v>7</v>
      </c>
      <c r="Y123" s="101">
        <f t="shared" si="95"/>
        <v>343.7</v>
      </c>
      <c r="Z123" s="100">
        <v>73.900000000000006</v>
      </c>
      <c r="AA123" s="101">
        <f t="shared" si="96"/>
        <v>5.5084745762711869</v>
      </c>
      <c r="AB123" s="101">
        <v>6.5</v>
      </c>
      <c r="AC123" s="101">
        <f t="shared" si="97"/>
        <v>480.35</v>
      </c>
      <c r="AD123" s="101">
        <v>0</v>
      </c>
      <c r="AE123" s="101"/>
      <c r="AF123" s="101"/>
      <c r="AG123" s="101">
        <f t="shared" si="98"/>
        <v>0</v>
      </c>
      <c r="AH123" s="102">
        <v>152.1</v>
      </c>
      <c r="AI123" s="101">
        <f t="shared" si="99"/>
        <v>7.6271186440677967</v>
      </c>
      <c r="AJ123" s="101">
        <v>9</v>
      </c>
      <c r="AK123" s="101">
        <f t="shared" si="100"/>
        <v>1368.8999999999999</v>
      </c>
      <c r="AL123" s="102">
        <v>3.9</v>
      </c>
      <c r="AM123" s="101">
        <f t="shared" si="101"/>
        <v>11.864406779661017</v>
      </c>
      <c r="AN123" s="101">
        <v>14</v>
      </c>
      <c r="AO123" s="101">
        <f t="shared" si="102"/>
        <v>54.6</v>
      </c>
      <c r="AP123" s="101">
        <f t="shared" si="122"/>
        <v>4911.8220338983056</v>
      </c>
      <c r="AQ123" s="101">
        <f>I123+M123+Q123+U123+Y123+AC123+AG123+AK123+AO123</f>
        <v>5795.95</v>
      </c>
      <c r="AR123" s="102">
        <v>1200</v>
      </c>
      <c r="AS123" s="101" t="s">
        <v>270</v>
      </c>
      <c r="AT123" s="103">
        <v>0</v>
      </c>
      <c r="AU123" s="103">
        <f t="shared" si="129"/>
        <v>5.0847457627118651</v>
      </c>
      <c r="AV123" s="103">
        <v>6</v>
      </c>
      <c r="AW123" s="103">
        <f t="shared" si="104"/>
        <v>6101.6949152542384</v>
      </c>
      <c r="AX123" s="103">
        <f t="shared" si="103"/>
        <v>7200</v>
      </c>
      <c r="AY123" s="104">
        <f t="shared" si="105"/>
        <v>11013.516949152545</v>
      </c>
      <c r="AZ123" s="105">
        <f t="shared" si="105"/>
        <v>12995.95</v>
      </c>
      <c r="BA123" s="9"/>
      <c r="BB123" s="9"/>
      <c r="BC123" s="9"/>
      <c r="BD123" s="9"/>
      <c r="BE123" s="43"/>
      <c r="BF123" s="43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</row>
    <row r="124" spans="1:93" s="4" customFormat="1" ht="45.75" outlineLevel="1" x14ac:dyDescent="0.25">
      <c r="A124" s="147" t="s">
        <v>68</v>
      </c>
      <c r="B124" s="148"/>
      <c r="C124" s="148"/>
      <c r="D124" s="106"/>
      <c r="E124" s="100"/>
      <c r="F124" s="106"/>
      <c r="G124" s="101">
        <v>0</v>
      </c>
      <c r="H124" s="101">
        <v>0</v>
      </c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7"/>
      <c r="AQ124" s="107"/>
      <c r="AR124" s="106"/>
      <c r="AS124" s="101"/>
      <c r="AT124" s="106"/>
      <c r="AU124" s="106"/>
      <c r="AV124" s="106"/>
      <c r="AW124" s="106"/>
      <c r="AX124" s="106"/>
      <c r="AY124" s="107"/>
      <c r="AZ124" s="108"/>
      <c r="BA124" s="9"/>
      <c r="BB124" s="9"/>
      <c r="BC124" s="9"/>
      <c r="BD124" s="9"/>
      <c r="BE124" s="43"/>
      <c r="BF124" s="43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</row>
    <row r="125" spans="1:93" s="4" customFormat="1" ht="183" outlineLevel="1" x14ac:dyDescent="0.25">
      <c r="A125" s="97">
        <f>A123+1</f>
        <v>100</v>
      </c>
      <c r="B125" s="98" t="s">
        <v>17</v>
      </c>
      <c r="C125" s="125" t="s">
        <v>131</v>
      </c>
      <c r="D125" s="99" t="s">
        <v>19</v>
      </c>
      <c r="E125" s="100">
        <f>F125+J125+N125+R125+V125+Z125+AD125+AH125+AL125</f>
        <v>503</v>
      </c>
      <c r="F125" s="101">
        <v>0</v>
      </c>
      <c r="G125" s="101">
        <v>0</v>
      </c>
      <c r="H125" s="101">
        <v>0</v>
      </c>
      <c r="I125" s="101">
        <f t="shared" si="89"/>
        <v>0</v>
      </c>
      <c r="J125" s="100">
        <v>296.5</v>
      </c>
      <c r="K125" s="101">
        <f t="shared" si="87"/>
        <v>11.864406779661017</v>
      </c>
      <c r="L125" s="101">
        <v>14</v>
      </c>
      <c r="M125" s="101">
        <f t="shared" si="90"/>
        <v>4151</v>
      </c>
      <c r="N125" s="102"/>
      <c r="O125" s="101">
        <f t="shared" si="91"/>
        <v>4.2372881355932206</v>
      </c>
      <c r="P125" s="101">
        <v>5</v>
      </c>
      <c r="Q125" s="101">
        <f t="shared" si="92"/>
        <v>0</v>
      </c>
      <c r="R125" s="100">
        <v>52.8</v>
      </c>
      <c r="S125" s="101">
        <f t="shared" si="93"/>
        <v>14.40677966101695</v>
      </c>
      <c r="T125" s="101">
        <v>17</v>
      </c>
      <c r="U125" s="101">
        <f t="shared" si="94"/>
        <v>897.59999999999991</v>
      </c>
      <c r="V125" s="101">
        <v>0</v>
      </c>
      <c r="W125" s="101">
        <f t="shared" si="166"/>
        <v>5.9322033898305087</v>
      </c>
      <c r="X125" s="101">
        <v>7</v>
      </c>
      <c r="Y125" s="101">
        <f t="shared" si="95"/>
        <v>0</v>
      </c>
      <c r="Z125" s="100">
        <f>135.5</f>
        <v>135.5</v>
      </c>
      <c r="AA125" s="101">
        <f t="shared" si="96"/>
        <v>5.5084745762711869</v>
      </c>
      <c r="AB125" s="101">
        <v>6.5</v>
      </c>
      <c r="AC125" s="101">
        <f t="shared" si="97"/>
        <v>880.75</v>
      </c>
      <c r="AD125" s="101">
        <v>0</v>
      </c>
      <c r="AE125" s="101"/>
      <c r="AF125" s="101"/>
      <c r="AG125" s="101">
        <f t="shared" si="98"/>
        <v>0</v>
      </c>
      <c r="AH125" s="102">
        <v>0</v>
      </c>
      <c r="AI125" s="101">
        <f t="shared" si="99"/>
        <v>7.6271186440677967</v>
      </c>
      <c r="AJ125" s="101">
        <v>9</v>
      </c>
      <c r="AK125" s="101">
        <f t="shared" si="100"/>
        <v>0</v>
      </c>
      <c r="AL125" s="102">
        <v>18.2</v>
      </c>
      <c r="AM125" s="101">
        <f t="shared" si="101"/>
        <v>11.864406779661017</v>
      </c>
      <c r="AN125" s="101">
        <v>14</v>
      </c>
      <c r="AO125" s="101">
        <f t="shared" si="102"/>
        <v>254.79999999999998</v>
      </c>
      <c r="AP125" s="101">
        <f t="shared" si="122"/>
        <v>5240.8050847457635</v>
      </c>
      <c r="AQ125" s="101">
        <f>I125+M125+Q125+U125+Y125+AC125+AG125+AK125+AO125</f>
        <v>6184.1500000000005</v>
      </c>
      <c r="AR125" s="102">
        <v>1900</v>
      </c>
      <c r="AS125" s="101" t="s">
        <v>270</v>
      </c>
      <c r="AT125" s="103">
        <v>0</v>
      </c>
      <c r="AU125" s="103">
        <f t="shared" si="129"/>
        <v>5.0847457627118651</v>
      </c>
      <c r="AV125" s="103">
        <v>6</v>
      </c>
      <c r="AW125" s="103">
        <f t="shared" si="104"/>
        <v>9661.016949152543</v>
      </c>
      <c r="AX125" s="103">
        <f t="shared" si="103"/>
        <v>11400</v>
      </c>
      <c r="AY125" s="104">
        <f t="shared" si="105"/>
        <v>14901.822033898306</v>
      </c>
      <c r="AZ125" s="105">
        <f t="shared" si="105"/>
        <v>17584.150000000001</v>
      </c>
      <c r="BA125" s="9"/>
      <c r="BB125" s="9"/>
      <c r="BC125" s="9"/>
      <c r="BD125" s="9"/>
      <c r="BE125" s="43"/>
      <c r="BF125" s="43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</row>
    <row r="126" spans="1:93" s="4" customFormat="1" ht="183" outlineLevel="1" x14ac:dyDescent="0.25">
      <c r="A126" s="97">
        <f>A125+1</f>
        <v>101</v>
      </c>
      <c r="B126" s="98" t="s">
        <v>212</v>
      </c>
      <c r="C126" s="125" t="s">
        <v>132</v>
      </c>
      <c r="D126" s="99" t="s">
        <v>19</v>
      </c>
      <c r="E126" s="100">
        <f>F126+J126+N126+R126+V126+Z126+AD126+AH126+AL126</f>
        <v>286.7</v>
      </c>
      <c r="F126" s="101">
        <v>0</v>
      </c>
      <c r="G126" s="101">
        <v>0</v>
      </c>
      <c r="H126" s="101">
        <v>0</v>
      </c>
      <c r="I126" s="101">
        <f t="shared" si="89"/>
        <v>0</v>
      </c>
      <c r="J126" s="100">
        <v>0</v>
      </c>
      <c r="K126" s="101">
        <f t="shared" si="87"/>
        <v>11.864406779661017</v>
      </c>
      <c r="L126" s="101">
        <v>14</v>
      </c>
      <c r="M126" s="101">
        <f t="shared" si="90"/>
        <v>0</v>
      </c>
      <c r="N126" s="102">
        <v>105.7</v>
      </c>
      <c r="O126" s="101">
        <f t="shared" si="91"/>
        <v>4.2372881355932206</v>
      </c>
      <c r="P126" s="101">
        <v>5</v>
      </c>
      <c r="Q126" s="101">
        <f t="shared" si="92"/>
        <v>528.5</v>
      </c>
      <c r="R126" s="100">
        <v>0</v>
      </c>
      <c r="S126" s="101">
        <f t="shared" si="93"/>
        <v>14.40677966101695</v>
      </c>
      <c r="T126" s="101">
        <v>17</v>
      </c>
      <c r="U126" s="101">
        <f t="shared" si="94"/>
        <v>0</v>
      </c>
      <c r="V126" s="101">
        <v>21.1</v>
      </c>
      <c r="W126" s="101">
        <v>4.2</v>
      </c>
      <c r="X126" s="101">
        <v>7</v>
      </c>
      <c r="Y126" s="101">
        <f t="shared" si="95"/>
        <v>147.70000000000002</v>
      </c>
      <c r="Z126" s="100">
        <f>132.4+18.6</f>
        <v>151</v>
      </c>
      <c r="AA126" s="101">
        <f t="shared" si="96"/>
        <v>5.5084745762711869</v>
      </c>
      <c r="AB126" s="101">
        <v>6.5</v>
      </c>
      <c r="AC126" s="101">
        <f t="shared" si="97"/>
        <v>981.5</v>
      </c>
      <c r="AD126" s="101">
        <v>0</v>
      </c>
      <c r="AE126" s="101"/>
      <c r="AF126" s="101"/>
      <c r="AG126" s="101">
        <f t="shared" si="98"/>
        <v>0</v>
      </c>
      <c r="AH126" s="102">
        <v>0</v>
      </c>
      <c r="AI126" s="101">
        <f t="shared" si="99"/>
        <v>7.6271186440677967</v>
      </c>
      <c r="AJ126" s="101">
        <v>9</v>
      </c>
      <c r="AK126" s="101">
        <f t="shared" si="100"/>
        <v>0</v>
      </c>
      <c r="AL126" s="102">
        <v>8.9</v>
      </c>
      <c r="AM126" s="101">
        <f t="shared" si="101"/>
        <v>11.864406779661017</v>
      </c>
      <c r="AN126" s="101">
        <v>14</v>
      </c>
      <c r="AO126" s="101">
        <f t="shared" si="102"/>
        <v>124.60000000000001</v>
      </c>
      <c r="AP126" s="101">
        <f t="shared" si="122"/>
        <v>1510.4237288135594</v>
      </c>
      <c r="AQ126" s="101">
        <f>I126+M126+Q126+U126+Y126+AC126+AG126+AK126+AO126</f>
        <v>1782.3</v>
      </c>
      <c r="AR126" s="102">
        <v>640</v>
      </c>
      <c r="AS126" s="101" t="s">
        <v>270</v>
      </c>
      <c r="AT126" s="103">
        <v>0</v>
      </c>
      <c r="AU126" s="103">
        <f t="shared" si="129"/>
        <v>5.0847457627118651</v>
      </c>
      <c r="AV126" s="103">
        <v>6</v>
      </c>
      <c r="AW126" s="103">
        <f t="shared" si="104"/>
        <v>3254.2372881355936</v>
      </c>
      <c r="AX126" s="103">
        <f t="shared" si="103"/>
        <v>3840</v>
      </c>
      <c r="AY126" s="104">
        <f t="shared" si="105"/>
        <v>4764.6610169491532</v>
      </c>
      <c r="AZ126" s="105">
        <f t="shared" si="105"/>
        <v>5622.3</v>
      </c>
      <c r="BA126" s="9"/>
      <c r="BB126" s="9"/>
      <c r="BC126" s="9"/>
      <c r="BD126" s="9"/>
      <c r="BE126" s="43"/>
      <c r="BF126" s="43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</row>
    <row r="127" spans="1:93" s="4" customFormat="1" ht="274.5" outlineLevel="1" x14ac:dyDescent="0.25">
      <c r="A127" s="97">
        <f>A126+1</f>
        <v>102</v>
      </c>
      <c r="B127" s="98" t="s">
        <v>212</v>
      </c>
      <c r="C127" s="125" t="s">
        <v>133</v>
      </c>
      <c r="D127" s="99" t="s">
        <v>19</v>
      </c>
      <c r="E127" s="100">
        <f>F127+J127+N127+R127+V127+Z127+AD127+AH127+AL127</f>
        <v>1700.2000000000003</v>
      </c>
      <c r="F127" s="101">
        <v>0</v>
      </c>
      <c r="G127" s="101">
        <v>0</v>
      </c>
      <c r="H127" s="101">
        <v>0</v>
      </c>
      <c r="I127" s="101">
        <f t="shared" si="89"/>
        <v>0</v>
      </c>
      <c r="J127" s="100">
        <v>342.4</v>
      </c>
      <c r="K127" s="101">
        <f t="shared" si="87"/>
        <v>11.864406779661017</v>
      </c>
      <c r="L127" s="101">
        <v>14</v>
      </c>
      <c r="M127" s="101">
        <f t="shared" si="90"/>
        <v>4793.5999999999995</v>
      </c>
      <c r="N127" s="102">
        <v>130.80000000000001</v>
      </c>
      <c r="O127" s="101">
        <f t="shared" si="91"/>
        <v>4.2372881355932206</v>
      </c>
      <c r="P127" s="101">
        <v>5</v>
      </c>
      <c r="Q127" s="101">
        <f t="shared" si="92"/>
        <v>654</v>
      </c>
      <c r="R127" s="100">
        <v>0</v>
      </c>
      <c r="S127" s="101">
        <f t="shared" si="93"/>
        <v>14.40677966101695</v>
      </c>
      <c r="T127" s="101">
        <v>17</v>
      </c>
      <c r="U127" s="101">
        <f t="shared" si="94"/>
        <v>0</v>
      </c>
      <c r="V127" s="101">
        <v>259.5</v>
      </c>
      <c r="W127" s="101">
        <f t="shared" ref="W127" si="167">X127/1.18</f>
        <v>5.9322033898305087</v>
      </c>
      <c r="X127" s="101">
        <v>7</v>
      </c>
      <c r="Y127" s="101">
        <f t="shared" si="95"/>
        <v>1816.5</v>
      </c>
      <c r="Z127" s="100">
        <v>315.10000000000002</v>
      </c>
      <c r="AA127" s="101">
        <f t="shared" si="96"/>
        <v>5.5084745762711869</v>
      </c>
      <c r="AB127" s="101">
        <v>6.5</v>
      </c>
      <c r="AC127" s="101">
        <f t="shared" si="97"/>
        <v>2048.15</v>
      </c>
      <c r="AD127" s="101">
        <v>0</v>
      </c>
      <c r="AE127" s="101"/>
      <c r="AF127" s="101"/>
      <c r="AG127" s="101">
        <f t="shared" si="98"/>
        <v>0</v>
      </c>
      <c r="AH127" s="102">
        <v>625.4</v>
      </c>
      <c r="AI127" s="101">
        <f t="shared" si="99"/>
        <v>7.6271186440677967</v>
      </c>
      <c r="AJ127" s="101">
        <v>9</v>
      </c>
      <c r="AK127" s="101">
        <f t="shared" si="100"/>
        <v>5628.5999999999995</v>
      </c>
      <c r="AL127" s="102">
        <v>27</v>
      </c>
      <c r="AM127" s="101">
        <f t="shared" si="101"/>
        <v>11.864406779661017</v>
      </c>
      <c r="AN127" s="101">
        <v>14</v>
      </c>
      <c r="AO127" s="101">
        <f t="shared" si="102"/>
        <v>378</v>
      </c>
      <c r="AP127" s="101">
        <f t="shared" si="122"/>
        <v>12982.076271186441</v>
      </c>
      <c r="AQ127" s="101">
        <f>I127+M127+Q127+U127+Y127+AC127+AG127+AK127+AO127</f>
        <v>15318.849999999999</v>
      </c>
      <c r="AR127" s="102">
        <v>6560</v>
      </c>
      <c r="AS127" s="101" t="s">
        <v>270</v>
      </c>
      <c r="AT127" s="103">
        <v>0</v>
      </c>
      <c r="AU127" s="103">
        <f t="shared" si="129"/>
        <v>5.0847457627118651</v>
      </c>
      <c r="AV127" s="103">
        <v>6</v>
      </c>
      <c r="AW127" s="103">
        <f t="shared" si="104"/>
        <v>33355.932203389835</v>
      </c>
      <c r="AX127" s="103">
        <f t="shared" si="103"/>
        <v>39360</v>
      </c>
      <c r="AY127" s="104">
        <f t="shared" si="105"/>
        <v>46338.008474576272</v>
      </c>
      <c r="AZ127" s="105">
        <f t="shared" si="105"/>
        <v>54678.85</v>
      </c>
      <c r="BA127" s="9"/>
      <c r="BB127" s="9"/>
      <c r="BC127" s="9"/>
      <c r="BD127" s="9"/>
      <c r="BE127" s="43"/>
      <c r="BF127" s="43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</row>
    <row r="128" spans="1:93" s="30" customFormat="1" ht="45.75" outlineLevel="1" x14ac:dyDescent="0.3">
      <c r="A128" s="145" t="s">
        <v>238</v>
      </c>
      <c r="B128" s="146"/>
      <c r="C128" s="146"/>
      <c r="D128" s="120"/>
      <c r="E128" s="100"/>
      <c r="F128" s="120"/>
      <c r="G128" s="101">
        <v>0</v>
      </c>
      <c r="H128" s="101">
        <v>0</v>
      </c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0"/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F128" s="120"/>
      <c r="AG128" s="120"/>
      <c r="AH128" s="120"/>
      <c r="AI128" s="120"/>
      <c r="AJ128" s="120"/>
      <c r="AK128" s="120"/>
      <c r="AL128" s="120"/>
      <c r="AM128" s="120"/>
      <c r="AN128" s="120"/>
      <c r="AO128" s="120"/>
      <c r="AP128" s="107"/>
      <c r="AQ128" s="107"/>
      <c r="AR128" s="120"/>
      <c r="AS128" s="101"/>
      <c r="AT128" s="120"/>
      <c r="AU128" s="120"/>
      <c r="AV128" s="120"/>
      <c r="AW128" s="120"/>
      <c r="AX128" s="120"/>
      <c r="AY128" s="117"/>
      <c r="AZ128" s="108"/>
      <c r="BA128" s="28"/>
      <c r="BB128" s="28"/>
      <c r="BC128" s="28"/>
      <c r="BD128" s="28"/>
      <c r="BE128" s="73"/>
      <c r="BF128" s="73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</row>
    <row r="129" spans="1:93" s="30" customFormat="1" ht="45.75" outlineLevel="1" x14ac:dyDescent="0.3">
      <c r="A129" s="145" t="s">
        <v>194</v>
      </c>
      <c r="B129" s="146"/>
      <c r="C129" s="146"/>
      <c r="D129" s="120"/>
      <c r="E129" s="100"/>
      <c r="F129" s="120"/>
      <c r="G129" s="101">
        <v>0</v>
      </c>
      <c r="H129" s="101">
        <v>0</v>
      </c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07"/>
      <c r="AQ129" s="107"/>
      <c r="AR129" s="120"/>
      <c r="AS129" s="101"/>
      <c r="AT129" s="120"/>
      <c r="AU129" s="120"/>
      <c r="AV129" s="120"/>
      <c r="AW129" s="120"/>
      <c r="AX129" s="120"/>
      <c r="AY129" s="107"/>
      <c r="AZ129" s="108"/>
      <c r="BA129" s="28"/>
      <c r="BB129" s="28"/>
      <c r="BC129" s="28"/>
      <c r="BD129" s="28"/>
      <c r="BE129" s="73"/>
      <c r="BF129" s="73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</row>
    <row r="130" spans="1:93" s="4" customFormat="1" ht="228.75" outlineLevel="1" x14ac:dyDescent="0.25">
      <c r="A130" s="97">
        <v>103</v>
      </c>
      <c r="B130" s="98" t="s">
        <v>18</v>
      </c>
      <c r="C130" s="125" t="s">
        <v>134</v>
      </c>
      <c r="D130" s="99" t="s">
        <v>19</v>
      </c>
      <c r="E130" s="100">
        <f t="shared" ref="E130:E136" si="168">F130+J130+N130+R130+V130+Z130+AD130+AH130+AL130</f>
        <v>888.6</v>
      </c>
      <c r="F130" s="101">
        <v>0</v>
      </c>
      <c r="G130" s="101">
        <v>0</v>
      </c>
      <c r="H130" s="101">
        <v>0</v>
      </c>
      <c r="I130" s="101">
        <f t="shared" ref="I130:I177" si="169">H130*F130</f>
        <v>0</v>
      </c>
      <c r="J130" s="100">
        <v>156.69999999999999</v>
      </c>
      <c r="K130" s="101">
        <f t="shared" ref="K130:K176" si="170">L130/1.18</f>
        <v>11.864406779661017</v>
      </c>
      <c r="L130" s="101">
        <v>14</v>
      </c>
      <c r="M130" s="101">
        <f t="shared" ref="M130:M177" si="171">L130*J130</f>
        <v>2193.7999999999997</v>
      </c>
      <c r="N130" s="102">
        <v>264.10000000000002</v>
      </c>
      <c r="O130" s="101">
        <f t="shared" ref="O130:O177" si="172">P130/1.18</f>
        <v>4.2372881355932206</v>
      </c>
      <c r="P130" s="101">
        <v>5</v>
      </c>
      <c r="Q130" s="101">
        <f t="shared" ref="Q130:Q177" si="173">P130*N130</f>
        <v>1320.5</v>
      </c>
      <c r="R130" s="100">
        <v>0</v>
      </c>
      <c r="S130" s="101">
        <f t="shared" ref="S130:S177" si="174">T130/1.18</f>
        <v>14.40677966101695</v>
      </c>
      <c r="T130" s="101">
        <v>17</v>
      </c>
      <c r="U130" s="101">
        <f t="shared" ref="U130:U177" si="175">T130*R130</f>
        <v>0</v>
      </c>
      <c r="V130" s="101">
        <v>57.9</v>
      </c>
      <c r="W130" s="101">
        <f t="shared" ref="W130:W132" si="176">X130/1.18</f>
        <v>5.9322033898305087</v>
      </c>
      <c r="X130" s="101">
        <v>7</v>
      </c>
      <c r="Y130" s="101">
        <f t="shared" ref="Y130:Y177" si="177">X130*V130</f>
        <v>405.3</v>
      </c>
      <c r="Z130" s="100">
        <v>202</v>
      </c>
      <c r="AA130" s="101">
        <f t="shared" ref="AA130:AA176" si="178">AB130/1.18</f>
        <v>5.5084745762711869</v>
      </c>
      <c r="AB130" s="101">
        <v>6.5</v>
      </c>
      <c r="AC130" s="101">
        <f t="shared" ref="AC130:AC177" si="179">AB130*Z130</f>
        <v>1313</v>
      </c>
      <c r="AD130" s="101">
        <v>0</v>
      </c>
      <c r="AE130" s="101"/>
      <c r="AF130" s="101"/>
      <c r="AG130" s="101">
        <f t="shared" ref="AG130:AG177" si="180">AF130*AD130</f>
        <v>0</v>
      </c>
      <c r="AH130" s="102">
        <v>191.8</v>
      </c>
      <c r="AI130" s="101">
        <f t="shared" ref="AI130:AI176" si="181">AJ130/1.18</f>
        <v>7.6271186440677967</v>
      </c>
      <c r="AJ130" s="101">
        <v>9</v>
      </c>
      <c r="AK130" s="101">
        <f t="shared" ref="AK130:AK177" si="182">AJ130*AH130</f>
        <v>1726.2</v>
      </c>
      <c r="AL130" s="102">
        <v>16.100000000000001</v>
      </c>
      <c r="AM130" s="101">
        <f t="shared" ref="AM130:AM177" si="183">AN130/1.18</f>
        <v>11.864406779661017</v>
      </c>
      <c r="AN130" s="101">
        <v>14</v>
      </c>
      <c r="AO130" s="101">
        <f t="shared" ref="AO130:AO177" si="184">AN130*AL130</f>
        <v>225.40000000000003</v>
      </c>
      <c r="AP130" s="101">
        <f t="shared" ref="AP130:AP170" si="185">AQ130/1.18</f>
        <v>6088.3050847457625</v>
      </c>
      <c r="AQ130" s="101">
        <f t="shared" ref="AQ130:AQ136" si="186">I130+M130+Q130+U130+Y130+AC130+AG130+AK130+AO130</f>
        <v>7184.2</v>
      </c>
      <c r="AR130" s="102">
        <f>50+650</f>
        <v>700</v>
      </c>
      <c r="AS130" s="101" t="s">
        <v>270</v>
      </c>
      <c r="AT130" s="103">
        <v>0</v>
      </c>
      <c r="AU130" s="103">
        <f t="shared" ref="AU130:AU176" si="187">AV130/1.18</f>
        <v>5.0847457627118651</v>
      </c>
      <c r="AV130" s="103">
        <v>6</v>
      </c>
      <c r="AW130" s="103">
        <f t="shared" ref="AW130:AW177" si="188">AU130*AR130</f>
        <v>3559.3220338983056</v>
      </c>
      <c r="AX130" s="103">
        <f>AV130*AR130</f>
        <v>4200</v>
      </c>
      <c r="AY130" s="104">
        <f t="shared" ref="AY130:AZ169" si="189">AP130+AW130</f>
        <v>9647.6271186440681</v>
      </c>
      <c r="AZ130" s="105">
        <f t="shared" si="189"/>
        <v>11384.2</v>
      </c>
      <c r="BA130" s="9"/>
      <c r="BB130" s="9"/>
      <c r="BC130" s="9"/>
      <c r="BD130" s="9"/>
      <c r="BE130" s="43"/>
      <c r="BF130" s="43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</row>
    <row r="131" spans="1:93" s="4" customFormat="1" ht="228.75" outlineLevel="1" x14ac:dyDescent="0.25">
      <c r="A131" s="97">
        <f>A130+1</f>
        <v>104</v>
      </c>
      <c r="B131" s="98" t="s">
        <v>18</v>
      </c>
      <c r="C131" s="125" t="s">
        <v>135</v>
      </c>
      <c r="D131" s="99" t="s">
        <v>19</v>
      </c>
      <c r="E131" s="100">
        <f t="shared" si="168"/>
        <v>786.40000000000009</v>
      </c>
      <c r="F131" s="101">
        <v>0</v>
      </c>
      <c r="G131" s="101">
        <v>0</v>
      </c>
      <c r="H131" s="101">
        <v>0</v>
      </c>
      <c r="I131" s="101">
        <f t="shared" si="169"/>
        <v>0</v>
      </c>
      <c r="J131" s="100">
        <v>117.6</v>
      </c>
      <c r="K131" s="101">
        <f t="shared" si="170"/>
        <v>11.864406779661017</v>
      </c>
      <c r="L131" s="101">
        <v>14</v>
      </c>
      <c r="M131" s="101">
        <f t="shared" si="171"/>
        <v>1646.3999999999999</v>
      </c>
      <c r="N131" s="102">
        <v>277.60000000000002</v>
      </c>
      <c r="O131" s="101">
        <f t="shared" si="172"/>
        <v>4.2372881355932206</v>
      </c>
      <c r="P131" s="101">
        <v>5</v>
      </c>
      <c r="Q131" s="101">
        <f t="shared" si="173"/>
        <v>1388</v>
      </c>
      <c r="R131" s="100">
        <v>0</v>
      </c>
      <c r="S131" s="101">
        <f t="shared" si="174"/>
        <v>14.40677966101695</v>
      </c>
      <c r="T131" s="101">
        <v>17</v>
      </c>
      <c r="U131" s="101">
        <f t="shared" si="175"/>
        <v>0</v>
      </c>
      <c r="V131" s="101">
        <v>44.6</v>
      </c>
      <c r="W131" s="101">
        <f t="shared" si="176"/>
        <v>5.9322033898305087</v>
      </c>
      <c r="X131" s="101">
        <v>7</v>
      </c>
      <c r="Y131" s="101">
        <f t="shared" si="177"/>
        <v>312.2</v>
      </c>
      <c r="Z131" s="100">
        <v>135.1</v>
      </c>
      <c r="AA131" s="101">
        <f t="shared" si="178"/>
        <v>5.5084745762711869</v>
      </c>
      <c r="AB131" s="101">
        <v>6.5</v>
      </c>
      <c r="AC131" s="101">
        <f t="shared" si="179"/>
        <v>878.15</v>
      </c>
      <c r="AD131" s="101">
        <v>0</v>
      </c>
      <c r="AE131" s="101"/>
      <c r="AF131" s="101"/>
      <c r="AG131" s="101">
        <f t="shared" si="180"/>
        <v>0</v>
      </c>
      <c r="AH131" s="102">
        <v>199.1</v>
      </c>
      <c r="AI131" s="101">
        <f t="shared" si="181"/>
        <v>7.6271186440677967</v>
      </c>
      <c r="AJ131" s="101">
        <v>9</v>
      </c>
      <c r="AK131" s="101">
        <f t="shared" si="182"/>
        <v>1791.8999999999999</v>
      </c>
      <c r="AL131" s="102">
        <v>12.4</v>
      </c>
      <c r="AM131" s="101">
        <f t="shared" si="183"/>
        <v>11.864406779661017</v>
      </c>
      <c r="AN131" s="101">
        <v>14</v>
      </c>
      <c r="AO131" s="101">
        <f t="shared" si="184"/>
        <v>173.6</v>
      </c>
      <c r="AP131" s="101">
        <f t="shared" si="185"/>
        <v>5245.9745762711864</v>
      </c>
      <c r="AQ131" s="101">
        <f t="shared" si="186"/>
        <v>6190.2499999999991</v>
      </c>
      <c r="AR131" s="102">
        <v>1990</v>
      </c>
      <c r="AS131" s="101" t="s">
        <v>270</v>
      </c>
      <c r="AT131" s="103">
        <v>0</v>
      </c>
      <c r="AU131" s="103">
        <f t="shared" si="187"/>
        <v>5.0847457627118651</v>
      </c>
      <c r="AV131" s="103">
        <v>6</v>
      </c>
      <c r="AW131" s="103">
        <f t="shared" si="188"/>
        <v>10118.644067796611</v>
      </c>
      <c r="AX131" s="103">
        <f t="shared" ref="AX131:AX177" si="190">AV131*AR131</f>
        <v>11940</v>
      </c>
      <c r="AY131" s="104">
        <f t="shared" si="189"/>
        <v>15364.618644067798</v>
      </c>
      <c r="AZ131" s="105">
        <f t="shared" si="189"/>
        <v>18130.25</v>
      </c>
      <c r="BA131" s="9"/>
      <c r="BB131" s="9"/>
      <c r="BC131" s="9"/>
      <c r="BD131" s="9"/>
      <c r="BE131" s="43"/>
      <c r="BF131" s="43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</row>
    <row r="132" spans="1:93" s="4" customFormat="1" ht="274.5" outlineLevel="1" x14ac:dyDescent="0.25">
      <c r="A132" s="97">
        <f t="shared" ref="A132:A136" si="191">A131+1</f>
        <v>105</v>
      </c>
      <c r="B132" s="98" t="s">
        <v>18</v>
      </c>
      <c r="C132" s="125" t="s">
        <v>136</v>
      </c>
      <c r="D132" s="99" t="s">
        <v>19</v>
      </c>
      <c r="E132" s="100">
        <f t="shared" si="168"/>
        <v>379.7</v>
      </c>
      <c r="F132" s="101">
        <v>0</v>
      </c>
      <c r="G132" s="101">
        <v>0</v>
      </c>
      <c r="H132" s="101">
        <v>0</v>
      </c>
      <c r="I132" s="101">
        <f t="shared" si="169"/>
        <v>0</v>
      </c>
      <c r="J132" s="100">
        <v>33.700000000000003</v>
      </c>
      <c r="K132" s="101">
        <f t="shared" si="170"/>
        <v>11.864406779661017</v>
      </c>
      <c r="L132" s="101">
        <v>14</v>
      </c>
      <c r="M132" s="101">
        <f t="shared" si="171"/>
        <v>471.80000000000007</v>
      </c>
      <c r="N132" s="102">
        <v>112.7</v>
      </c>
      <c r="O132" s="101">
        <f t="shared" si="172"/>
        <v>4.2372881355932206</v>
      </c>
      <c r="P132" s="101">
        <v>5</v>
      </c>
      <c r="Q132" s="101">
        <f t="shared" si="173"/>
        <v>563.5</v>
      </c>
      <c r="R132" s="100">
        <v>0</v>
      </c>
      <c r="S132" s="101">
        <f t="shared" si="174"/>
        <v>14.40677966101695</v>
      </c>
      <c r="T132" s="101">
        <v>17</v>
      </c>
      <c r="U132" s="101">
        <f t="shared" si="175"/>
        <v>0</v>
      </c>
      <c r="V132" s="101">
        <v>10.3</v>
      </c>
      <c r="W132" s="101">
        <f t="shared" si="176"/>
        <v>5.9322033898305087</v>
      </c>
      <c r="X132" s="101">
        <v>7</v>
      </c>
      <c r="Y132" s="101">
        <f t="shared" si="177"/>
        <v>72.100000000000009</v>
      </c>
      <c r="Z132" s="100">
        <v>119.1</v>
      </c>
      <c r="AA132" s="101">
        <f t="shared" si="178"/>
        <v>5.5084745762711869</v>
      </c>
      <c r="AB132" s="101">
        <v>6.5</v>
      </c>
      <c r="AC132" s="101">
        <f t="shared" si="179"/>
        <v>774.15</v>
      </c>
      <c r="AD132" s="101">
        <v>0</v>
      </c>
      <c r="AE132" s="101"/>
      <c r="AF132" s="101"/>
      <c r="AG132" s="101">
        <f t="shared" si="180"/>
        <v>0</v>
      </c>
      <c r="AH132" s="102">
        <v>98.2</v>
      </c>
      <c r="AI132" s="101">
        <f t="shared" si="181"/>
        <v>7.6271186440677967</v>
      </c>
      <c r="AJ132" s="101">
        <v>9</v>
      </c>
      <c r="AK132" s="101">
        <f t="shared" si="182"/>
        <v>883.80000000000007</v>
      </c>
      <c r="AL132" s="102">
        <v>5.7</v>
      </c>
      <c r="AM132" s="101">
        <f t="shared" si="183"/>
        <v>11.864406779661017</v>
      </c>
      <c r="AN132" s="101">
        <v>14</v>
      </c>
      <c r="AO132" s="101">
        <f t="shared" si="184"/>
        <v>79.8</v>
      </c>
      <c r="AP132" s="101">
        <f t="shared" si="185"/>
        <v>2411.1440677966107</v>
      </c>
      <c r="AQ132" s="101">
        <f t="shared" si="186"/>
        <v>2845.1500000000005</v>
      </c>
      <c r="AR132" s="102">
        <v>246</v>
      </c>
      <c r="AS132" s="101" t="s">
        <v>270</v>
      </c>
      <c r="AT132" s="103">
        <v>0</v>
      </c>
      <c r="AU132" s="103">
        <f t="shared" si="187"/>
        <v>5.0847457627118651</v>
      </c>
      <c r="AV132" s="103">
        <v>6</v>
      </c>
      <c r="AW132" s="103">
        <f t="shared" si="188"/>
        <v>1250.8474576271187</v>
      </c>
      <c r="AX132" s="103">
        <f t="shared" si="190"/>
        <v>1476</v>
      </c>
      <c r="AY132" s="104">
        <f t="shared" si="189"/>
        <v>3661.9915254237294</v>
      </c>
      <c r="AZ132" s="105">
        <f t="shared" si="189"/>
        <v>4321.1500000000005</v>
      </c>
      <c r="BA132" s="9"/>
      <c r="BB132" s="9"/>
      <c r="BC132" s="9"/>
      <c r="BD132" s="9"/>
      <c r="BE132" s="43"/>
      <c r="BF132" s="43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</row>
    <row r="133" spans="1:93" s="4" customFormat="1" ht="228.75" outlineLevel="1" x14ac:dyDescent="0.25">
      <c r="A133" s="97">
        <f t="shared" si="191"/>
        <v>106</v>
      </c>
      <c r="B133" s="98" t="s">
        <v>214</v>
      </c>
      <c r="C133" s="125" t="s">
        <v>181</v>
      </c>
      <c r="D133" s="99" t="s">
        <v>19</v>
      </c>
      <c r="E133" s="100">
        <f t="shared" si="168"/>
        <v>1959.6</v>
      </c>
      <c r="F133" s="101">
        <v>0</v>
      </c>
      <c r="G133" s="101">
        <v>0</v>
      </c>
      <c r="H133" s="101">
        <v>0</v>
      </c>
      <c r="I133" s="101">
        <f t="shared" si="169"/>
        <v>0</v>
      </c>
      <c r="J133" s="100">
        <v>509.3</v>
      </c>
      <c r="K133" s="101">
        <f t="shared" si="170"/>
        <v>11.864406779661017</v>
      </c>
      <c r="L133" s="101">
        <v>14</v>
      </c>
      <c r="M133" s="101">
        <f t="shared" si="171"/>
        <v>7130.2</v>
      </c>
      <c r="N133" s="102">
        <v>439.2</v>
      </c>
      <c r="O133" s="101">
        <f t="shared" si="172"/>
        <v>4.2372881355932206</v>
      </c>
      <c r="P133" s="101">
        <v>5</v>
      </c>
      <c r="Q133" s="101">
        <f t="shared" si="173"/>
        <v>2196</v>
      </c>
      <c r="R133" s="100">
        <v>0</v>
      </c>
      <c r="S133" s="101">
        <f t="shared" si="174"/>
        <v>14.40677966101695</v>
      </c>
      <c r="T133" s="101">
        <v>17</v>
      </c>
      <c r="U133" s="101">
        <f t="shared" si="175"/>
        <v>0</v>
      </c>
      <c r="V133" s="101">
        <v>60.1</v>
      </c>
      <c r="W133" s="101">
        <v>4.2</v>
      </c>
      <c r="X133" s="101">
        <v>7</v>
      </c>
      <c r="Y133" s="101">
        <f t="shared" si="177"/>
        <v>420.7</v>
      </c>
      <c r="Z133" s="100">
        <v>438.7</v>
      </c>
      <c r="AA133" s="101">
        <f t="shared" si="178"/>
        <v>5.5084745762711869</v>
      </c>
      <c r="AB133" s="101">
        <v>6.5</v>
      </c>
      <c r="AC133" s="101">
        <f t="shared" si="179"/>
        <v>2851.5499999999997</v>
      </c>
      <c r="AD133" s="101">
        <v>0</v>
      </c>
      <c r="AE133" s="101"/>
      <c r="AF133" s="101"/>
      <c r="AG133" s="101">
        <f t="shared" si="180"/>
        <v>0</v>
      </c>
      <c r="AH133" s="102">
        <v>470.3</v>
      </c>
      <c r="AI133" s="101">
        <f t="shared" si="181"/>
        <v>7.6271186440677967</v>
      </c>
      <c r="AJ133" s="101">
        <v>9</v>
      </c>
      <c r="AK133" s="101">
        <f t="shared" si="182"/>
        <v>4232.7</v>
      </c>
      <c r="AL133" s="102">
        <v>42</v>
      </c>
      <c r="AM133" s="101">
        <f t="shared" si="183"/>
        <v>11.864406779661017</v>
      </c>
      <c r="AN133" s="101">
        <v>14</v>
      </c>
      <c r="AO133" s="101">
        <f t="shared" si="184"/>
        <v>588</v>
      </c>
      <c r="AP133" s="101">
        <f t="shared" si="185"/>
        <v>14761.991525423731</v>
      </c>
      <c r="AQ133" s="101">
        <f t="shared" si="186"/>
        <v>17419.150000000001</v>
      </c>
      <c r="AR133" s="102">
        <v>615</v>
      </c>
      <c r="AS133" s="101" t="s">
        <v>270</v>
      </c>
      <c r="AT133" s="103">
        <v>0</v>
      </c>
      <c r="AU133" s="103">
        <f t="shared" si="187"/>
        <v>5.0847457627118651</v>
      </c>
      <c r="AV133" s="103">
        <v>6</v>
      </c>
      <c r="AW133" s="103">
        <f t="shared" si="188"/>
        <v>3127.118644067797</v>
      </c>
      <c r="AX133" s="103">
        <f t="shared" si="190"/>
        <v>3690</v>
      </c>
      <c r="AY133" s="104">
        <f t="shared" si="189"/>
        <v>17889.110169491527</v>
      </c>
      <c r="AZ133" s="105">
        <f t="shared" si="189"/>
        <v>21109.15</v>
      </c>
      <c r="BA133" s="9"/>
      <c r="BB133" s="9"/>
      <c r="BC133" s="9"/>
      <c r="BD133" s="9"/>
      <c r="BE133" s="43"/>
      <c r="BF133" s="43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</row>
    <row r="134" spans="1:93" s="4" customFormat="1" ht="228.75" outlineLevel="1" x14ac:dyDescent="0.25">
      <c r="A134" s="97">
        <f t="shared" si="191"/>
        <v>107</v>
      </c>
      <c r="B134" s="98" t="s">
        <v>214</v>
      </c>
      <c r="C134" s="125" t="s">
        <v>137</v>
      </c>
      <c r="D134" s="99" t="s">
        <v>19</v>
      </c>
      <c r="E134" s="100">
        <f t="shared" si="168"/>
        <v>480.70000000000005</v>
      </c>
      <c r="F134" s="101">
        <v>0</v>
      </c>
      <c r="G134" s="101">
        <v>0</v>
      </c>
      <c r="H134" s="101">
        <v>0</v>
      </c>
      <c r="I134" s="101">
        <f t="shared" si="169"/>
        <v>0</v>
      </c>
      <c r="J134" s="100">
        <v>142</v>
      </c>
      <c r="K134" s="101">
        <f t="shared" si="170"/>
        <v>11.864406779661017</v>
      </c>
      <c r="L134" s="101">
        <v>14</v>
      </c>
      <c r="M134" s="101">
        <f t="shared" si="171"/>
        <v>1988</v>
      </c>
      <c r="N134" s="102">
        <v>97.9</v>
      </c>
      <c r="O134" s="101">
        <f t="shared" si="172"/>
        <v>4.2372881355932206</v>
      </c>
      <c r="P134" s="101">
        <v>5</v>
      </c>
      <c r="Q134" s="101">
        <f t="shared" si="173"/>
        <v>489.5</v>
      </c>
      <c r="R134" s="100">
        <v>0</v>
      </c>
      <c r="S134" s="101">
        <f t="shared" si="174"/>
        <v>14.40677966101695</v>
      </c>
      <c r="T134" s="101">
        <v>17</v>
      </c>
      <c r="U134" s="101">
        <f t="shared" si="175"/>
        <v>0</v>
      </c>
      <c r="V134" s="101">
        <v>29.2</v>
      </c>
      <c r="W134" s="101">
        <f t="shared" ref="W134:W136" si="192">X134/1.18</f>
        <v>5.9322033898305087</v>
      </c>
      <c r="X134" s="101">
        <v>7</v>
      </c>
      <c r="Y134" s="101">
        <f t="shared" si="177"/>
        <v>204.4</v>
      </c>
      <c r="Z134" s="100">
        <v>66.8</v>
      </c>
      <c r="AA134" s="101">
        <f t="shared" si="178"/>
        <v>5.5084745762711869</v>
      </c>
      <c r="AB134" s="101">
        <v>6.5</v>
      </c>
      <c r="AC134" s="101">
        <f t="shared" si="179"/>
        <v>434.2</v>
      </c>
      <c r="AD134" s="101">
        <v>0</v>
      </c>
      <c r="AE134" s="101"/>
      <c r="AF134" s="101"/>
      <c r="AG134" s="101">
        <f t="shared" si="180"/>
        <v>0</v>
      </c>
      <c r="AH134" s="102">
        <v>130.69999999999999</v>
      </c>
      <c r="AI134" s="101">
        <f t="shared" si="181"/>
        <v>7.6271186440677967</v>
      </c>
      <c r="AJ134" s="101">
        <v>9</v>
      </c>
      <c r="AK134" s="101">
        <f t="shared" si="182"/>
        <v>1176.3</v>
      </c>
      <c r="AL134" s="102">
        <v>14.1</v>
      </c>
      <c r="AM134" s="101">
        <f t="shared" si="183"/>
        <v>11.864406779661017</v>
      </c>
      <c r="AN134" s="101">
        <v>14</v>
      </c>
      <c r="AO134" s="101">
        <f t="shared" si="184"/>
        <v>197.4</v>
      </c>
      <c r="AP134" s="101">
        <f t="shared" si="185"/>
        <v>3804.9152542372876</v>
      </c>
      <c r="AQ134" s="101">
        <f t="shared" si="186"/>
        <v>4489.7999999999993</v>
      </c>
      <c r="AR134" s="102">
        <v>960</v>
      </c>
      <c r="AS134" s="101" t="s">
        <v>270</v>
      </c>
      <c r="AT134" s="103">
        <v>0</v>
      </c>
      <c r="AU134" s="103">
        <f t="shared" si="187"/>
        <v>5.0847457627118651</v>
      </c>
      <c r="AV134" s="103">
        <v>6</v>
      </c>
      <c r="AW134" s="103">
        <f t="shared" si="188"/>
        <v>4881.3559322033907</v>
      </c>
      <c r="AX134" s="103">
        <f t="shared" si="190"/>
        <v>5760</v>
      </c>
      <c r="AY134" s="104">
        <f t="shared" si="189"/>
        <v>8686.2711864406774</v>
      </c>
      <c r="AZ134" s="105">
        <f t="shared" si="189"/>
        <v>10249.799999999999</v>
      </c>
      <c r="BA134" s="9"/>
      <c r="BB134" s="9"/>
      <c r="BC134" s="9"/>
      <c r="BD134" s="9"/>
      <c r="BE134" s="43"/>
      <c r="BF134" s="43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</row>
    <row r="135" spans="1:93" s="4" customFormat="1" ht="320.25" outlineLevel="1" x14ac:dyDescent="0.25">
      <c r="A135" s="97">
        <f t="shared" si="191"/>
        <v>108</v>
      </c>
      <c r="B135" s="98" t="s">
        <v>18</v>
      </c>
      <c r="C135" s="125" t="s">
        <v>272</v>
      </c>
      <c r="D135" s="99" t="s">
        <v>19</v>
      </c>
      <c r="E135" s="100">
        <f t="shared" si="168"/>
        <v>73.7</v>
      </c>
      <c r="F135" s="101">
        <v>0</v>
      </c>
      <c r="G135" s="101">
        <v>0</v>
      </c>
      <c r="H135" s="101">
        <v>0</v>
      </c>
      <c r="I135" s="101">
        <f t="shared" ref="I135" si="193">H135*F135</f>
        <v>0</v>
      </c>
      <c r="J135" s="100">
        <v>0</v>
      </c>
      <c r="K135" s="101">
        <f t="shared" ref="K135" si="194">L135/1.18</f>
        <v>11.864406779661017</v>
      </c>
      <c r="L135" s="101">
        <v>14</v>
      </c>
      <c r="M135" s="101">
        <f t="shared" ref="M135" si="195">L135*J135</f>
        <v>0</v>
      </c>
      <c r="N135" s="102">
        <v>36.1</v>
      </c>
      <c r="O135" s="101">
        <f t="shared" ref="O135" si="196">P135/1.18</f>
        <v>4.2372881355932206</v>
      </c>
      <c r="P135" s="101">
        <v>5</v>
      </c>
      <c r="Q135" s="101">
        <f t="shared" ref="Q135" si="197">P135*N135</f>
        <v>180.5</v>
      </c>
      <c r="R135" s="100">
        <v>0</v>
      </c>
      <c r="S135" s="101">
        <f t="shared" ref="S135" si="198">T135/1.18</f>
        <v>14.40677966101695</v>
      </c>
      <c r="T135" s="101">
        <v>17</v>
      </c>
      <c r="U135" s="101">
        <f t="shared" ref="U135" si="199">T135*R135</f>
        <v>0</v>
      </c>
      <c r="V135" s="101">
        <v>0</v>
      </c>
      <c r="W135" s="101">
        <f t="shared" ref="W135" si="200">X135/1.18</f>
        <v>5.9322033898305087</v>
      </c>
      <c r="X135" s="101">
        <v>7</v>
      </c>
      <c r="Y135" s="101">
        <f t="shared" ref="Y135" si="201">X135*V135</f>
        <v>0</v>
      </c>
      <c r="Z135" s="100">
        <v>21.1</v>
      </c>
      <c r="AA135" s="101">
        <f t="shared" ref="AA135" si="202">AB135/1.18</f>
        <v>5.5084745762711869</v>
      </c>
      <c r="AB135" s="101">
        <v>6.5</v>
      </c>
      <c r="AC135" s="101">
        <f t="shared" ref="AC135" si="203">AB135*Z135</f>
        <v>137.15</v>
      </c>
      <c r="AD135" s="101">
        <v>0</v>
      </c>
      <c r="AE135" s="101"/>
      <c r="AF135" s="101"/>
      <c r="AG135" s="101">
        <f t="shared" ref="AG135" si="204">AF135*AD135</f>
        <v>0</v>
      </c>
      <c r="AH135" s="102">
        <v>12.9</v>
      </c>
      <c r="AI135" s="101">
        <f t="shared" ref="AI135" si="205">AJ135/1.18</f>
        <v>7.6271186440677967</v>
      </c>
      <c r="AJ135" s="101">
        <v>9</v>
      </c>
      <c r="AK135" s="101">
        <f t="shared" ref="AK135" si="206">AJ135*AH135</f>
        <v>116.10000000000001</v>
      </c>
      <c r="AL135" s="102">
        <v>3.6</v>
      </c>
      <c r="AM135" s="101">
        <f t="shared" ref="AM135" si="207">AN135/1.18</f>
        <v>11.864406779661017</v>
      </c>
      <c r="AN135" s="101">
        <v>14</v>
      </c>
      <c r="AO135" s="101">
        <f t="shared" ref="AO135" si="208">AN135*AL135</f>
        <v>50.4</v>
      </c>
      <c r="AP135" s="101">
        <f t="shared" ref="AP135" si="209">AQ135/1.18</f>
        <v>410.29661016949154</v>
      </c>
      <c r="AQ135" s="101">
        <f t="shared" si="186"/>
        <v>484.15</v>
      </c>
      <c r="AR135" s="102">
        <v>200</v>
      </c>
      <c r="AS135" s="101" t="s">
        <v>270</v>
      </c>
      <c r="AT135" s="103">
        <v>0</v>
      </c>
      <c r="AU135" s="103">
        <f t="shared" ref="AU135" si="210">AV135/1.18</f>
        <v>5.0847457627118651</v>
      </c>
      <c r="AV135" s="103">
        <v>6</v>
      </c>
      <c r="AW135" s="103">
        <f t="shared" ref="AW135" si="211">AU135*AR135</f>
        <v>1016.949152542373</v>
      </c>
      <c r="AX135" s="103">
        <f t="shared" ref="AX135" si="212">AV135*AR135</f>
        <v>1200</v>
      </c>
      <c r="AY135" s="104">
        <f t="shared" ref="AY135" si="213">AP135+AW135</f>
        <v>1427.2457627118645</v>
      </c>
      <c r="AZ135" s="105">
        <f t="shared" ref="AZ135" si="214">AQ135+AX135</f>
        <v>1684.15</v>
      </c>
      <c r="BA135" s="9"/>
      <c r="BB135" s="9"/>
      <c r="BC135" s="9"/>
      <c r="BD135" s="9"/>
      <c r="BE135" s="43"/>
      <c r="BF135" s="43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</row>
    <row r="136" spans="1:93" s="4" customFormat="1" ht="228.75" outlineLevel="1" x14ac:dyDescent="0.25">
      <c r="A136" s="97">
        <f t="shared" si="191"/>
        <v>109</v>
      </c>
      <c r="B136" s="98" t="s">
        <v>214</v>
      </c>
      <c r="C136" s="125" t="s">
        <v>138</v>
      </c>
      <c r="D136" s="99" t="s">
        <v>19</v>
      </c>
      <c r="E136" s="100">
        <f t="shared" si="168"/>
        <v>2021.6000000000001</v>
      </c>
      <c r="F136" s="101">
        <v>0</v>
      </c>
      <c r="G136" s="101">
        <v>0</v>
      </c>
      <c r="H136" s="101">
        <v>0</v>
      </c>
      <c r="I136" s="101">
        <f t="shared" si="169"/>
        <v>0</v>
      </c>
      <c r="J136" s="100">
        <v>687.8</v>
      </c>
      <c r="K136" s="101">
        <f t="shared" si="170"/>
        <v>11.864406779661017</v>
      </c>
      <c r="L136" s="101">
        <v>14</v>
      </c>
      <c r="M136" s="101">
        <f t="shared" si="171"/>
        <v>9629.1999999999989</v>
      </c>
      <c r="N136" s="102">
        <v>467.6</v>
      </c>
      <c r="O136" s="101">
        <f t="shared" si="172"/>
        <v>4.2372881355932206</v>
      </c>
      <c r="P136" s="101">
        <v>5</v>
      </c>
      <c r="Q136" s="101">
        <f t="shared" si="173"/>
        <v>2338</v>
      </c>
      <c r="R136" s="100">
        <v>0</v>
      </c>
      <c r="S136" s="101">
        <f t="shared" si="174"/>
        <v>14.40677966101695</v>
      </c>
      <c r="T136" s="101">
        <v>17</v>
      </c>
      <c r="U136" s="101">
        <f t="shared" si="175"/>
        <v>0</v>
      </c>
      <c r="V136" s="101">
        <v>149.30000000000001</v>
      </c>
      <c r="W136" s="101">
        <f t="shared" si="192"/>
        <v>5.9322033898305087</v>
      </c>
      <c r="X136" s="101">
        <v>7</v>
      </c>
      <c r="Y136" s="101">
        <f t="shared" si="177"/>
        <v>1045.1000000000001</v>
      </c>
      <c r="Z136" s="100">
        <v>281.2</v>
      </c>
      <c r="AA136" s="114">
        <f t="shared" si="178"/>
        <v>5.5084745762711869</v>
      </c>
      <c r="AB136" s="114">
        <v>6.5</v>
      </c>
      <c r="AC136" s="114">
        <f t="shared" si="179"/>
        <v>1827.8</v>
      </c>
      <c r="AD136" s="101">
        <v>0</v>
      </c>
      <c r="AE136" s="101"/>
      <c r="AF136" s="101"/>
      <c r="AG136" s="101">
        <f t="shared" si="180"/>
        <v>0</v>
      </c>
      <c r="AH136" s="102">
        <v>413.3</v>
      </c>
      <c r="AI136" s="101">
        <f t="shared" si="181"/>
        <v>7.6271186440677967</v>
      </c>
      <c r="AJ136" s="101">
        <v>9</v>
      </c>
      <c r="AK136" s="101">
        <f t="shared" si="182"/>
        <v>3719.7000000000003</v>
      </c>
      <c r="AL136" s="102">
        <v>22.4</v>
      </c>
      <c r="AM136" s="101">
        <f t="shared" si="183"/>
        <v>11.864406779661017</v>
      </c>
      <c r="AN136" s="101">
        <v>14</v>
      </c>
      <c r="AO136" s="101">
        <f t="shared" si="184"/>
        <v>313.59999999999997</v>
      </c>
      <c r="AP136" s="101">
        <f t="shared" si="185"/>
        <v>15994.406779661016</v>
      </c>
      <c r="AQ136" s="101">
        <f t="shared" si="186"/>
        <v>18873.399999999998</v>
      </c>
      <c r="AR136" s="102">
        <f>20.8+247.2+3384.7</f>
        <v>3652.7</v>
      </c>
      <c r="AS136" s="101" t="s">
        <v>270</v>
      </c>
      <c r="AT136" s="103">
        <v>0</v>
      </c>
      <c r="AU136" s="103">
        <f t="shared" si="187"/>
        <v>5.0847457627118651</v>
      </c>
      <c r="AV136" s="103">
        <v>6</v>
      </c>
      <c r="AW136" s="103">
        <f t="shared" si="188"/>
        <v>18573.050847457627</v>
      </c>
      <c r="AX136" s="103">
        <f t="shared" si="190"/>
        <v>21916.199999999997</v>
      </c>
      <c r="AY136" s="104">
        <f t="shared" si="189"/>
        <v>34567.457627118645</v>
      </c>
      <c r="AZ136" s="105">
        <f t="shared" si="189"/>
        <v>40789.599999999991</v>
      </c>
      <c r="BA136" s="9"/>
      <c r="BB136" s="9"/>
      <c r="BC136" s="9"/>
      <c r="BD136" s="9"/>
      <c r="BE136" s="43"/>
      <c r="BF136" s="43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</row>
    <row r="137" spans="1:93" s="4" customFormat="1" ht="45.75" outlineLevel="1" x14ac:dyDescent="0.25">
      <c r="A137" s="147" t="s">
        <v>188</v>
      </c>
      <c r="B137" s="148"/>
      <c r="C137" s="148"/>
      <c r="D137" s="106"/>
      <c r="E137" s="100"/>
      <c r="F137" s="106"/>
      <c r="G137" s="101">
        <v>0</v>
      </c>
      <c r="H137" s="101">
        <v>0</v>
      </c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7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7"/>
      <c r="AQ137" s="117"/>
      <c r="AR137" s="106"/>
      <c r="AS137" s="101"/>
      <c r="AT137" s="106"/>
      <c r="AU137" s="106"/>
      <c r="AV137" s="106"/>
      <c r="AW137" s="106"/>
      <c r="AX137" s="106"/>
      <c r="AY137" s="107"/>
      <c r="AZ137" s="119"/>
      <c r="BA137" s="9"/>
      <c r="BB137" s="9"/>
      <c r="BC137" s="9"/>
      <c r="BD137" s="9"/>
      <c r="BE137" s="43"/>
      <c r="BF137" s="43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</row>
    <row r="138" spans="1:93" s="4" customFormat="1" ht="228.75" outlineLevel="1" x14ac:dyDescent="0.25">
      <c r="A138" s="97">
        <f>A136+1</f>
        <v>110</v>
      </c>
      <c r="B138" s="98" t="s">
        <v>211</v>
      </c>
      <c r="C138" s="125" t="s">
        <v>142</v>
      </c>
      <c r="D138" s="99" t="s">
        <v>19</v>
      </c>
      <c r="E138" s="100">
        <f>F138+J138+N138+R138+V138+Z138+AD138+AH138+AL138</f>
        <v>1789.6000000000001</v>
      </c>
      <c r="F138" s="101">
        <v>0</v>
      </c>
      <c r="G138" s="101">
        <v>0</v>
      </c>
      <c r="H138" s="101">
        <v>0</v>
      </c>
      <c r="I138" s="101">
        <f>H138*F138</f>
        <v>0</v>
      </c>
      <c r="J138" s="100">
        <v>475.9</v>
      </c>
      <c r="K138" s="101">
        <f>L138/1.18</f>
        <v>11.864406779661017</v>
      </c>
      <c r="L138" s="101">
        <v>14</v>
      </c>
      <c r="M138" s="101">
        <f>L138*J138</f>
        <v>6662.5999999999995</v>
      </c>
      <c r="N138" s="102">
        <v>350</v>
      </c>
      <c r="O138" s="101">
        <f>P138/1.18</f>
        <v>4.2372881355932206</v>
      </c>
      <c r="P138" s="101">
        <v>5</v>
      </c>
      <c r="Q138" s="101">
        <f>P138*N138</f>
        <v>1750</v>
      </c>
      <c r="R138" s="100">
        <v>0</v>
      </c>
      <c r="S138" s="101">
        <f>T138/1.18</f>
        <v>14.40677966101695</v>
      </c>
      <c r="T138" s="101">
        <v>17</v>
      </c>
      <c r="U138" s="101">
        <f>T138*R138</f>
        <v>0</v>
      </c>
      <c r="V138" s="101">
        <v>48.7</v>
      </c>
      <c r="W138" s="101">
        <f>X138/1.18</f>
        <v>5.9322033898305087</v>
      </c>
      <c r="X138" s="101">
        <v>7</v>
      </c>
      <c r="Y138" s="101">
        <f>X138*V138</f>
        <v>340.90000000000003</v>
      </c>
      <c r="Z138" s="100">
        <v>220.4</v>
      </c>
      <c r="AA138" s="101">
        <f t="shared" ref="AA138:AA140" si="215">AB138/1.18</f>
        <v>5.5084745762711869</v>
      </c>
      <c r="AB138" s="101">
        <v>6.5</v>
      </c>
      <c r="AC138" s="101">
        <f>AB138*Z138</f>
        <v>1432.6000000000001</v>
      </c>
      <c r="AD138" s="101">
        <v>0</v>
      </c>
      <c r="AE138" s="101"/>
      <c r="AF138" s="101"/>
      <c r="AG138" s="101">
        <f>AF138*AD138</f>
        <v>0</v>
      </c>
      <c r="AH138" s="102">
        <v>658.9</v>
      </c>
      <c r="AI138" s="101">
        <f t="shared" ref="AI138:AI140" si="216">AJ138/1.18</f>
        <v>7.6271186440677967</v>
      </c>
      <c r="AJ138" s="101">
        <v>9</v>
      </c>
      <c r="AK138" s="101">
        <f>AJ138*AH138</f>
        <v>5930.0999999999995</v>
      </c>
      <c r="AL138" s="102">
        <v>35.700000000000003</v>
      </c>
      <c r="AM138" s="101">
        <f>AN138/1.18</f>
        <v>11.864406779661017</v>
      </c>
      <c r="AN138" s="101">
        <v>14</v>
      </c>
      <c r="AO138" s="101">
        <f>AN138*AL138</f>
        <v>499.80000000000007</v>
      </c>
      <c r="AP138" s="101">
        <f t="shared" si="185"/>
        <v>14081.355932203387</v>
      </c>
      <c r="AQ138" s="101">
        <f>I138+M138+Q138+U138+Y138+AC138+AG138+AK138+AO138</f>
        <v>16615.999999999996</v>
      </c>
      <c r="AR138" s="102">
        <f>696+160</f>
        <v>856</v>
      </c>
      <c r="AS138" s="101" t="s">
        <v>270</v>
      </c>
      <c r="AT138" s="103">
        <v>0</v>
      </c>
      <c r="AU138" s="103">
        <f t="shared" ref="AU138:AU152" si="217">AV138/1.18</f>
        <v>5.0847457627118651</v>
      </c>
      <c r="AV138" s="103">
        <v>6</v>
      </c>
      <c r="AW138" s="103">
        <f>AU138*AR138</f>
        <v>4352.5423728813566</v>
      </c>
      <c r="AX138" s="103">
        <f>AV138*AR138</f>
        <v>5136</v>
      </c>
      <c r="AY138" s="104">
        <f t="shared" si="189"/>
        <v>18433.898305084746</v>
      </c>
      <c r="AZ138" s="105">
        <f t="shared" si="189"/>
        <v>21751.999999999996</v>
      </c>
      <c r="BA138" s="9"/>
      <c r="BB138" s="9"/>
      <c r="BC138" s="9"/>
      <c r="BD138" s="9"/>
      <c r="BE138" s="43"/>
      <c r="BF138" s="43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</row>
    <row r="139" spans="1:93" s="4" customFormat="1" ht="228.75" outlineLevel="1" x14ac:dyDescent="0.25">
      <c r="A139" s="97">
        <f>A138+1</f>
        <v>111</v>
      </c>
      <c r="B139" s="98" t="s">
        <v>18</v>
      </c>
      <c r="C139" s="125" t="s">
        <v>143</v>
      </c>
      <c r="D139" s="99" t="s">
        <v>19</v>
      </c>
      <c r="E139" s="100">
        <f>F139+J139+N139+R139+V139+Z139+AD139+AH139+AL139</f>
        <v>440.00000000000006</v>
      </c>
      <c r="F139" s="101">
        <v>0</v>
      </c>
      <c r="G139" s="101">
        <v>0</v>
      </c>
      <c r="H139" s="101">
        <v>0</v>
      </c>
      <c r="I139" s="101">
        <f>H139*F139</f>
        <v>0</v>
      </c>
      <c r="J139" s="100">
        <v>62.9</v>
      </c>
      <c r="K139" s="101">
        <f>L139/1.18</f>
        <v>11.864406779661017</v>
      </c>
      <c r="L139" s="101">
        <v>14</v>
      </c>
      <c r="M139" s="101">
        <f>L139*J139</f>
        <v>880.6</v>
      </c>
      <c r="N139" s="102">
        <v>171.3</v>
      </c>
      <c r="O139" s="101">
        <f>P139/1.18</f>
        <v>4.2372881355932206</v>
      </c>
      <c r="P139" s="101">
        <v>5</v>
      </c>
      <c r="Q139" s="101">
        <f>P139*N139</f>
        <v>856.5</v>
      </c>
      <c r="R139" s="100">
        <v>0</v>
      </c>
      <c r="S139" s="101">
        <f>T139/1.18</f>
        <v>14.40677966101695</v>
      </c>
      <c r="T139" s="101">
        <v>17</v>
      </c>
      <c r="U139" s="101">
        <f>T139*R139</f>
        <v>0</v>
      </c>
      <c r="V139" s="101">
        <v>11.8</v>
      </c>
      <c r="W139" s="101">
        <f>X139/1.18</f>
        <v>5.9322033898305087</v>
      </c>
      <c r="X139" s="101">
        <v>7</v>
      </c>
      <c r="Y139" s="101">
        <f>X139*V139</f>
        <v>82.600000000000009</v>
      </c>
      <c r="Z139" s="100">
        <v>41.7</v>
      </c>
      <c r="AA139" s="101">
        <f t="shared" si="215"/>
        <v>5.5084745762711869</v>
      </c>
      <c r="AB139" s="101">
        <v>6.5</v>
      </c>
      <c r="AC139" s="101">
        <f>AB139*Z139</f>
        <v>271.05</v>
      </c>
      <c r="AD139" s="101">
        <v>0</v>
      </c>
      <c r="AE139" s="101"/>
      <c r="AF139" s="101"/>
      <c r="AG139" s="101">
        <f>AF139*AD139</f>
        <v>0</v>
      </c>
      <c r="AH139" s="102">
        <v>141.69999999999999</v>
      </c>
      <c r="AI139" s="101">
        <f t="shared" si="216"/>
        <v>7.6271186440677967</v>
      </c>
      <c r="AJ139" s="101">
        <v>9</v>
      </c>
      <c r="AK139" s="101">
        <f>AJ139*AH139</f>
        <v>1275.3</v>
      </c>
      <c r="AL139" s="102">
        <v>10.6</v>
      </c>
      <c r="AM139" s="101">
        <f>AN139/1.18</f>
        <v>11.864406779661017</v>
      </c>
      <c r="AN139" s="101">
        <v>14</v>
      </c>
      <c r="AO139" s="101">
        <f>AN139*AL139</f>
        <v>148.4</v>
      </c>
      <c r="AP139" s="101">
        <f t="shared" si="185"/>
        <v>2978.3474576271192</v>
      </c>
      <c r="AQ139" s="101">
        <f>I139+M139+Q139+U139+Y139+AC139+AG139+AK139+AO139</f>
        <v>3514.4500000000003</v>
      </c>
      <c r="AR139" s="102">
        <v>1010</v>
      </c>
      <c r="AS139" s="101" t="s">
        <v>270</v>
      </c>
      <c r="AT139" s="103">
        <v>0</v>
      </c>
      <c r="AU139" s="103">
        <f t="shared" si="217"/>
        <v>5.0847457627118651</v>
      </c>
      <c r="AV139" s="103">
        <v>6</v>
      </c>
      <c r="AW139" s="103">
        <f>AU139*AR139</f>
        <v>5135.5932203389839</v>
      </c>
      <c r="AX139" s="103">
        <f>AV139*AR139</f>
        <v>6060</v>
      </c>
      <c r="AY139" s="104">
        <f t="shared" si="189"/>
        <v>8113.9406779661031</v>
      </c>
      <c r="AZ139" s="105">
        <f t="shared" si="189"/>
        <v>9574.4500000000007</v>
      </c>
      <c r="BA139" s="9"/>
      <c r="BB139" s="9"/>
      <c r="BC139" s="9"/>
      <c r="BD139" s="9"/>
      <c r="BE139" s="43"/>
      <c r="BF139" s="43"/>
      <c r="BG139" s="40"/>
      <c r="BH139" s="40"/>
      <c r="BI139" s="40"/>
      <c r="BJ139" s="40"/>
      <c r="BK139" s="40"/>
      <c r="BL139" s="40"/>
      <c r="BM139" s="40"/>
      <c r="BN139" s="40"/>
      <c r="BO139" s="40"/>
      <c r="BP139" s="40"/>
      <c r="BQ139" s="40"/>
      <c r="BR139" s="40"/>
      <c r="BS139" s="40"/>
      <c r="BT139" s="40"/>
      <c r="BU139" s="40"/>
      <c r="BV139" s="40"/>
      <c r="BW139" s="40"/>
      <c r="BX139" s="40"/>
      <c r="BY139" s="40"/>
      <c r="BZ139" s="40"/>
      <c r="CA139" s="40"/>
      <c r="CB139" s="40"/>
      <c r="CC139" s="40"/>
      <c r="CD139" s="40"/>
      <c r="CE139" s="40"/>
      <c r="CF139" s="40"/>
      <c r="CG139" s="40"/>
      <c r="CH139" s="40"/>
      <c r="CI139" s="40"/>
      <c r="CJ139" s="40"/>
      <c r="CK139" s="40"/>
      <c r="CL139" s="40"/>
      <c r="CM139" s="40"/>
      <c r="CN139" s="40"/>
      <c r="CO139" s="40"/>
    </row>
    <row r="140" spans="1:93" s="60" customFormat="1" ht="274.5" outlineLevel="1" x14ac:dyDescent="0.25">
      <c r="A140" s="97">
        <f>A139+1</f>
        <v>112</v>
      </c>
      <c r="B140" s="98" t="s">
        <v>18</v>
      </c>
      <c r="C140" s="125" t="s">
        <v>144</v>
      </c>
      <c r="D140" s="99" t="s">
        <v>19</v>
      </c>
      <c r="E140" s="100">
        <f>F140+J140+N140+R140+V140+Z140+AD140+AH140+AL140</f>
        <v>922.69999999999993</v>
      </c>
      <c r="F140" s="101">
        <v>0</v>
      </c>
      <c r="G140" s="101">
        <v>0</v>
      </c>
      <c r="H140" s="101">
        <v>0</v>
      </c>
      <c r="I140" s="101">
        <f>H140*F140</f>
        <v>0</v>
      </c>
      <c r="J140" s="100">
        <v>142.19999999999999</v>
      </c>
      <c r="K140" s="101">
        <f>L140/1.18</f>
        <v>11.864406779661017</v>
      </c>
      <c r="L140" s="101">
        <v>14</v>
      </c>
      <c r="M140" s="101">
        <f>L140*J140</f>
        <v>1990.7999999999997</v>
      </c>
      <c r="N140" s="102">
        <v>273.89999999999998</v>
      </c>
      <c r="O140" s="101">
        <f>P140/1.18</f>
        <v>4.2372881355932206</v>
      </c>
      <c r="P140" s="101">
        <v>5</v>
      </c>
      <c r="Q140" s="101">
        <f>P140*N140</f>
        <v>1369.5</v>
      </c>
      <c r="R140" s="100">
        <v>0</v>
      </c>
      <c r="S140" s="101">
        <f>T140/1.18</f>
        <v>14.40677966101695</v>
      </c>
      <c r="T140" s="101">
        <v>17</v>
      </c>
      <c r="U140" s="101">
        <f>T140*R140</f>
        <v>0</v>
      </c>
      <c r="V140" s="101">
        <v>57</v>
      </c>
      <c r="W140" s="101">
        <f t="shared" ref="W140" si="218">X140/1.18</f>
        <v>5.9322033898305087</v>
      </c>
      <c r="X140" s="101">
        <v>7</v>
      </c>
      <c r="Y140" s="101">
        <f>X140*V140</f>
        <v>399</v>
      </c>
      <c r="Z140" s="100">
        <v>148.69999999999999</v>
      </c>
      <c r="AA140" s="101">
        <f t="shared" si="215"/>
        <v>5.5084745762711869</v>
      </c>
      <c r="AB140" s="101">
        <v>6.5</v>
      </c>
      <c r="AC140" s="101">
        <f>AB140*Z140</f>
        <v>966.55</v>
      </c>
      <c r="AD140" s="101">
        <v>0</v>
      </c>
      <c r="AE140" s="101"/>
      <c r="AF140" s="101"/>
      <c r="AG140" s="101">
        <f>AF140*AD140</f>
        <v>0</v>
      </c>
      <c r="AH140" s="102">
        <v>252.9</v>
      </c>
      <c r="AI140" s="101">
        <f t="shared" si="216"/>
        <v>7.6271186440677967</v>
      </c>
      <c r="AJ140" s="101">
        <v>9</v>
      </c>
      <c r="AK140" s="101">
        <f>AJ140*AH140</f>
        <v>2276.1</v>
      </c>
      <c r="AL140" s="102">
        <v>48</v>
      </c>
      <c r="AM140" s="101">
        <f>AN140/1.18</f>
        <v>11.864406779661017</v>
      </c>
      <c r="AN140" s="101">
        <v>14</v>
      </c>
      <c r="AO140" s="101">
        <f>AN140*AL140</f>
        <v>672</v>
      </c>
      <c r="AP140" s="101">
        <f t="shared" si="185"/>
        <v>6503.3474576271183</v>
      </c>
      <c r="AQ140" s="101">
        <f>I140+M140+Q140+U140+Y140+AC140+AG140+AK140+AO140</f>
        <v>7673.9499999999989</v>
      </c>
      <c r="AR140" s="102">
        <f>2166+1500</f>
        <v>3666</v>
      </c>
      <c r="AS140" s="101" t="s">
        <v>270</v>
      </c>
      <c r="AT140" s="103">
        <v>0</v>
      </c>
      <c r="AU140" s="103">
        <f t="shared" si="217"/>
        <v>5.0847457627118651</v>
      </c>
      <c r="AV140" s="103">
        <v>6</v>
      </c>
      <c r="AW140" s="103">
        <f>AU140*AR140</f>
        <v>18640.677966101699</v>
      </c>
      <c r="AX140" s="103">
        <f>AV140*AR140</f>
        <v>21996</v>
      </c>
      <c r="AY140" s="104">
        <f t="shared" si="189"/>
        <v>25144.025423728817</v>
      </c>
      <c r="AZ140" s="105">
        <f t="shared" si="189"/>
        <v>29669.949999999997</v>
      </c>
      <c r="BA140" s="58"/>
      <c r="BB140" s="9"/>
      <c r="BC140" s="9"/>
      <c r="BD140" s="9"/>
      <c r="BE140" s="43"/>
      <c r="BF140" s="43"/>
      <c r="BG140" s="59"/>
      <c r="BH140" s="59"/>
      <c r="BI140" s="59"/>
      <c r="BJ140" s="59"/>
      <c r="BK140" s="59"/>
      <c r="BL140" s="59"/>
      <c r="BM140" s="59"/>
      <c r="BN140" s="59"/>
      <c r="BO140" s="59"/>
      <c r="BP140" s="59"/>
      <c r="BQ140" s="59"/>
      <c r="BR140" s="59"/>
      <c r="BS140" s="59"/>
      <c r="BT140" s="59"/>
      <c r="BU140" s="59"/>
      <c r="BV140" s="59"/>
      <c r="BW140" s="59"/>
      <c r="BX140" s="59"/>
      <c r="BY140" s="59"/>
      <c r="BZ140" s="59"/>
      <c r="CA140" s="59"/>
      <c r="CB140" s="59"/>
      <c r="CC140" s="59"/>
      <c r="CD140" s="59"/>
      <c r="CE140" s="59"/>
      <c r="CF140" s="59"/>
      <c r="CG140" s="59"/>
      <c r="CH140" s="59"/>
      <c r="CI140" s="59"/>
      <c r="CJ140" s="59"/>
      <c r="CK140" s="59"/>
      <c r="CL140" s="59"/>
      <c r="CM140" s="59"/>
      <c r="CN140" s="59"/>
      <c r="CO140" s="59"/>
    </row>
    <row r="141" spans="1:93" s="66" customFormat="1" ht="45.75" outlineLevel="1" x14ac:dyDescent="0.25">
      <c r="A141" s="147" t="s">
        <v>195</v>
      </c>
      <c r="B141" s="148"/>
      <c r="C141" s="148"/>
      <c r="D141" s="106"/>
      <c r="E141" s="100"/>
      <c r="F141" s="106"/>
      <c r="G141" s="101">
        <v>0</v>
      </c>
      <c r="H141" s="101">
        <v>0</v>
      </c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6"/>
      <c r="AJ141" s="106"/>
      <c r="AK141" s="106"/>
      <c r="AL141" s="106"/>
      <c r="AM141" s="106"/>
      <c r="AN141" s="106"/>
      <c r="AO141" s="106"/>
      <c r="AP141" s="101"/>
      <c r="AQ141" s="101"/>
      <c r="AR141" s="106"/>
      <c r="AS141" s="101"/>
      <c r="AT141" s="106"/>
      <c r="AU141" s="106"/>
      <c r="AV141" s="106"/>
      <c r="AW141" s="106"/>
      <c r="AX141" s="106"/>
      <c r="AY141" s="104"/>
      <c r="AZ141" s="105"/>
      <c r="BA141" s="69"/>
      <c r="BB141" s="36"/>
      <c r="BC141" s="36"/>
      <c r="BD141" s="36"/>
      <c r="BE141" s="36"/>
      <c r="BF141" s="36"/>
      <c r="BG141" s="72"/>
    </row>
    <row r="142" spans="1:93" s="4" customFormat="1" ht="228.75" outlineLevel="1" x14ac:dyDescent="0.25">
      <c r="A142" s="97">
        <v>113</v>
      </c>
      <c r="B142" s="98" t="s">
        <v>212</v>
      </c>
      <c r="C142" s="125" t="s">
        <v>139</v>
      </c>
      <c r="D142" s="99" t="s">
        <v>19</v>
      </c>
      <c r="E142" s="100">
        <f>F142+J142+N142+R142+V142+Z142+AD142+AH142+AL142</f>
        <v>1887.4</v>
      </c>
      <c r="F142" s="101">
        <v>0</v>
      </c>
      <c r="G142" s="101">
        <v>0</v>
      </c>
      <c r="H142" s="101">
        <v>0</v>
      </c>
      <c r="I142" s="101">
        <f t="shared" si="169"/>
        <v>0</v>
      </c>
      <c r="J142" s="100">
        <v>417.3</v>
      </c>
      <c r="K142" s="101">
        <f t="shared" si="170"/>
        <v>11.864406779661017</v>
      </c>
      <c r="L142" s="110">
        <v>14</v>
      </c>
      <c r="M142" s="101">
        <f t="shared" si="171"/>
        <v>5842.2</v>
      </c>
      <c r="N142" s="102">
        <v>562.5</v>
      </c>
      <c r="O142" s="101">
        <f t="shared" si="172"/>
        <v>4.2372881355932206</v>
      </c>
      <c r="P142" s="110">
        <v>5</v>
      </c>
      <c r="Q142" s="101">
        <f t="shared" si="173"/>
        <v>2812.5</v>
      </c>
      <c r="R142" s="100">
        <v>0</v>
      </c>
      <c r="S142" s="101">
        <f t="shared" si="174"/>
        <v>14.40677966101695</v>
      </c>
      <c r="T142" s="101">
        <v>17</v>
      </c>
      <c r="U142" s="101">
        <f t="shared" si="175"/>
        <v>0</v>
      </c>
      <c r="V142" s="101">
        <v>0</v>
      </c>
      <c r="W142" s="110">
        <v>4.2</v>
      </c>
      <c r="X142" s="101">
        <v>7</v>
      </c>
      <c r="Y142" s="101">
        <f t="shared" si="177"/>
        <v>0</v>
      </c>
      <c r="Z142" s="100">
        <v>178.2</v>
      </c>
      <c r="AA142" s="110">
        <f t="shared" si="178"/>
        <v>5.5084745762711869</v>
      </c>
      <c r="AB142" s="110">
        <v>6.5</v>
      </c>
      <c r="AC142" s="101">
        <f t="shared" si="179"/>
        <v>1158.3</v>
      </c>
      <c r="AD142" s="101">
        <v>0</v>
      </c>
      <c r="AE142" s="101"/>
      <c r="AF142" s="101"/>
      <c r="AG142" s="101">
        <f t="shared" si="180"/>
        <v>0</v>
      </c>
      <c r="AH142" s="102">
        <v>688.2</v>
      </c>
      <c r="AI142" s="101">
        <f t="shared" si="181"/>
        <v>7.6271186440677967</v>
      </c>
      <c r="AJ142" s="110">
        <v>9</v>
      </c>
      <c r="AK142" s="101">
        <f t="shared" si="182"/>
        <v>6193.8</v>
      </c>
      <c r="AL142" s="102">
        <v>41.2</v>
      </c>
      <c r="AM142" s="101">
        <f t="shared" si="183"/>
        <v>11.864406779661017</v>
      </c>
      <c r="AN142" s="101">
        <v>14</v>
      </c>
      <c r="AO142" s="101">
        <f t="shared" si="184"/>
        <v>576.80000000000007</v>
      </c>
      <c r="AP142" s="101">
        <f t="shared" si="185"/>
        <v>14053.898305084746</v>
      </c>
      <c r="AQ142" s="101">
        <f>I142+M142+Q142+U142+Y142+AC142+AG142+AK142+AO142</f>
        <v>16583.599999999999</v>
      </c>
      <c r="AR142" s="102">
        <v>2650</v>
      </c>
      <c r="AS142" s="101" t="s">
        <v>270</v>
      </c>
      <c r="AT142" s="103">
        <v>0</v>
      </c>
      <c r="AU142" s="113">
        <f t="shared" si="217"/>
        <v>5.0847457627118651</v>
      </c>
      <c r="AV142" s="113">
        <v>6</v>
      </c>
      <c r="AW142" s="103">
        <f t="shared" si="188"/>
        <v>13474.576271186443</v>
      </c>
      <c r="AX142" s="103">
        <f t="shared" si="190"/>
        <v>15900</v>
      </c>
      <c r="AY142" s="104">
        <f t="shared" si="189"/>
        <v>27528.47457627119</v>
      </c>
      <c r="AZ142" s="105">
        <f t="shared" si="189"/>
        <v>32483.599999999999</v>
      </c>
      <c r="BA142" s="9"/>
      <c r="BB142" s="9"/>
      <c r="BC142" s="9"/>
      <c r="BD142" s="9"/>
      <c r="BE142" s="43"/>
      <c r="BF142" s="43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</row>
    <row r="143" spans="1:93" s="4" customFormat="1" ht="228.75" outlineLevel="1" x14ac:dyDescent="0.25">
      <c r="A143" s="97">
        <v>114</v>
      </c>
      <c r="B143" s="98" t="s">
        <v>18</v>
      </c>
      <c r="C143" s="125" t="s">
        <v>140</v>
      </c>
      <c r="D143" s="99" t="s">
        <v>19</v>
      </c>
      <c r="E143" s="100">
        <f>F143+J143+N143+R143+V143+Z143+AD143+AH143+AL143</f>
        <v>273.5</v>
      </c>
      <c r="F143" s="101">
        <v>0</v>
      </c>
      <c r="G143" s="101">
        <v>0</v>
      </c>
      <c r="H143" s="101">
        <v>0</v>
      </c>
      <c r="I143" s="101">
        <f t="shared" si="169"/>
        <v>0</v>
      </c>
      <c r="J143" s="100">
        <v>35.5</v>
      </c>
      <c r="K143" s="101">
        <f t="shared" si="170"/>
        <v>11.864406779661017</v>
      </c>
      <c r="L143" s="110">
        <v>14</v>
      </c>
      <c r="M143" s="101">
        <f t="shared" si="171"/>
        <v>497</v>
      </c>
      <c r="N143" s="102">
        <v>124.9</v>
      </c>
      <c r="O143" s="101">
        <f t="shared" si="172"/>
        <v>4.2372881355932206</v>
      </c>
      <c r="P143" s="110">
        <v>5</v>
      </c>
      <c r="Q143" s="101">
        <f t="shared" si="173"/>
        <v>624.5</v>
      </c>
      <c r="R143" s="100">
        <v>0</v>
      </c>
      <c r="S143" s="101">
        <f t="shared" si="174"/>
        <v>14.40677966101695</v>
      </c>
      <c r="T143" s="101">
        <v>17</v>
      </c>
      <c r="U143" s="101">
        <f t="shared" si="175"/>
        <v>0</v>
      </c>
      <c r="V143" s="101">
        <v>0</v>
      </c>
      <c r="W143" s="101">
        <f t="shared" ref="W143:W144" si="219">X143/1.18</f>
        <v>5.9322033898305087</v>
      </c>
      <c r="X143" s="101">
        <v>7</v>
      </c>
      <c r="Y143" s="101">
        <f t="shared" si="177"/>
        <v>0</v>
      </c>
      <c r="Z143" s="100">
        <v>34.6</v>
      </c>
      <c r="AA143" s="101">
        <f t="shared" si="178"/>
        <v>5.5084745762711869</v>
      </c>
      <c r="AB143" s="110">
        <v>6.5</v>
      </c>
      <c r="AC143" s="101">
        <f t="shared" si="179"/>
        <v>224.9</v>
      </c>
      <c r="AD143" s="101">
        <v>0</v>
      </c>
      <c r="AE143" s="101"/>
      <c r="AF143" s="101"/>
      <c r="AG143" s="101">
        <f t="shared" si="180"/>
        <v>0</v>
      </c>
      <c r="AH143" s="102">
        <v>68.900000000000006</v>
      </c>
      <c r="AI143" s="101">
        <f t="shared" si="181"/>
        <v>7.6271186440677967</v>
      </c>
      <c r="AJ143" s="110">
        <v>9</v>
      </c>
      <c r="AK143" s="101">
        <f t="shared" si="182"/>
        <v>620.1</v>
      </c>
      <c r="AL143" s="102">
        <v>9.6</v>
      </c>
      <c r="AM143" s="101">
        <f t="shared" si="183"/>
        <v>11.864406779661017</v>
      </c>
      <c r="AN143" s="101">
        <v>14</v>
      </c>
      <c r="AO143" s="101">
        <f t="shared" si="184"/>
        <v>134.4</v>
      </c>
      <c r="AP143" s="101">
        <f t="shared" si="185"/>
        <v>1780.4237288135596</v>
      </c>
      <c r="AQ143" s="101">
        <f>I143+M143+Q143+U143+Y143+AC143+AG143+AK143+AO143</f>
        <v>2100.9</v>
      </c>
      <c r="AR143" s="102">
        <v>1793</v>
      </c>
      <c r="AS143" s="101" t="s">
        <v>270</v>
      </c>
      <c r="AT143" s="103">
        <v>0</v>
      </c>
      <c r="AU143" s="113">
        <f t="shared" si="217"/>
        <v>5.0847457627118651</v>
      </c>
      <c r="AV143" s="113">
        <v>6</v>
      </c>
      <c r="AW143" s="103">
        <f t="shared" si="188"/>
        <v>9116.9491525423746</v>
      </c>
      <c r="AX143" s="103">
        <f t="shared" si="190"/>
        <v>10758</v>
      </c>
      <c r="AY143" s="104">
        <f t="shared" si="189"/>
        <v>10897.372881355934</v>
      </c>
      <c r="AZ143" s="105">
        <f t="shared" si="189"/>
        <v>12858.9</v>
      </c>
      <c r="BA143" s="9"/>
      <c r="BB143" s="9"/>
      <c r="BC143" s="9"/>
      <c r="BD143" s="9"/>
      <c r="BE143" s="43"/>
      <c r="BF143" s="43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</row>
    <row r="144" spans="1:93" s="4" customFormat="1" ht="274.5" outlineLevel="1" x14ac:dyDescent="0.25">
      <c r="A144" s="97">
        <f t="shared" ref="A144" si="220">A143+1</f>
        <v>115</v>
      </c>
      <c r="B144" s="98" t="s">
        <v>212</v>
      </c>
      <c r="C144" s="125" t="s">
        <v>141</v>
      </c>
      <c r="D144" s="99" t="s">
        <v>19</v>
      </c>
      <c r="E144" s="100">
        <f>F144+J144+N144+R144+V144+Z144+AD144+AH144+AL144</f>
        <v>79.600000000000009</v>
      </c>
      <c r="F144" s="101">
        <v>0</v>
      </c>
      <c r="G144" s="101">
        <v>0</v>
      </c>
      <c r="H144" s="101">
        <v>0</v>
      </c>
      <c r="I144" s="101">
        <f t="shared" si="169"/>
        <v>0</v>
      </c>
      <c r="J144" s="100">
        <v>0</v>
      </c>
      <c r="K144" s="101">
        <f t="shared" si="170"/>
        <v>11.864406779661017</v>
      </c>
      <c r="L144" s="110">
        <v>14</v>
      </c>
      <c r="M144" s="101">
        <f t="shared" si="171"/>
        <v>0</v>
      </c>
      <c r="N144" s="102">
        <v>21.5</v>
      </c>
      <c r="O144" s="101">
        <f t="shared" si="172"/>
        <v>4.2372881355932206</v>
      </c>
      <c r="P144" s="110">
        <v>5</v>
      </c>
      <c r="Q144" s="101">
        <f t="shared" si="173"/>
        <v>107.5</v>
      </c>
      <c r="R144" s="100">
        <v>0</v>
      </c>
      <c r="S144" s="101">
        <f t="shared" si="174"/>
        <v>14.40677966101695</v>
      </c>
      <c r="T144" s="101">
        <v>17</v>
      </c>
      <c r="U144" s="101">
        <f t="shared" si="175"/>
        <v>0</v>
      </c>
      <c r="V144" s="101">
        <v>0</v>
      </c>
      <c r="W144" s="101">
        <f t="shared" si="219"/>
        <v>5.9322033898305087</v>
      </c>
      <c r="X144" s="101">
        <v>7</v>
      </c>
      <c r="Y144" s="101">
        <f t="shared" si="177"/>
        <v>0</v>
      </c>
      <c r="Z144" s="100">
        <v>31.5</v>
      </c>
      <c r="AA144" s="101">
        <f t="shared" si="178"/>
        <v>5.5084745762711869</v>
      </c>
      <c r="AB144" s="110">
        <v>6.5</v>
      </c>
      <c r="AC144" s="101">
        <f t="shared" si="179"/>
        <v>204.75</v>
      </c>
      <c r="AD144" s="101">
        <v>0</v>
      </c>
      <c r="AE144" s="101"/>
      <c r="AF144" s="101"/>
      <c r="AG144" s="101">
        <f t="shared" si="180"/>
        <v>0</v>
      </c>
      <c r="AH144" s="102">
        <v>24.2</v>
      </c>
      <c r="AI144" s="101">
        <f t="shared" si="181"/>
        <v>7.6271186440677967</v>
      </c>
      <c r="AJ144" s="110">
        <v>9</v>
      </c>
      <c r="AK144" s="101">
        <f t="shared" si="182"/>
        <v>217.79999999999998</v>
      </c>
      <c r="AL144" s="102">
        <v>2.4</v>
      </c>
      <c r="AM144" s="101">
        <f t="shared" si="183"/>
        <v>11.864406779661017</v>
      </c>
      <c r="AN144" s="101">
        <v>14</v>
      </c>
      <c r="AO144" s="101">
        <f t="shared" si="184"/>
        <v>33.6</v>
      </c>
      <c r="AP144" s="101">
        <f t="shared" si="185"/>
        <v>477.66949152542372</v>
      </c>
      <c r="AQ144" s="101">
        <f>I144+M144+Q144+U144+Y144+AC144+AG144+AK144+AO144</f>
        <v>563.65</v>
      </c>
      <c r="AR144" s="102">
        <v>1755</v>
      </c>
      <c r="AS144" s="101" t="s">
        <v>270</v>
      </c>
      <c r="AT144" s="103">
        <v>0</v>
      </c>
      <c r="AU144" s="113">
        <f t="shared" si="217"/>
        <v>5.0847457627118651</v>
      </c>
      <c r="AV144" s="113">
        <v>6</v>
      </c>
      <c r="AW144" s="103">
        <f t="shared" si="188"/>
        <v>8923.7288135593226</v>
      </c>
      <c r="AX144" s="103">
        <f t="shared" si="190"/>
        <v>10530</v>
      </c>
      <c r="AY144" s="104">
        <f t="shared" si="189"/>
        <v>9401.3983050847455</v>
      </c>
      <c r="AZ144" s="105">
        <f t="shared" si="189"/>
        <v>11093.65</v>
      </c>
      <c r="BA144" s="9"/>
      <c r="BB144" s="9"/>
      <c r="BC144" s="9"/>
      <c r="BD144" s="9"/>
      <c r="BE144" s="43"/>
      <c r="BF144" s="43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</row>
    <row r="145" spans="1:93" s="4" customFormat="1" ht="45.75" outlineLevel="1" x14ac:dyDescent="0.25">
      <c r="A145" s="153" t="s">
        <v>274</v>
      </c>
      <c r="B145" s="154"/>
      <c r="C145" s="155"/>
      <c r="D145" s="99"/>
      <c r="E145" s="100"/>
      <c r="F145" s="101"/>
      <c r="G145" s="101">
        <v>0</v>
      </c>
      <c r="H145" s="101">
        <v>0</v>
      </c>
      <c r="I145" s="101"/>
      <c r="J145" s="100"/>
      <c r="K145" s="101"/>
      <c r="L145" s="110"/>
      <c r="M145" s="101"/>
      <c r="N145" s="102"/>
      <c r="O145" s="101"/>
      <c r="P145" s="110"/>
      <c r="Q145" s="101"/>
      <c r="R145" s="100"/>
      <c r="S145" s="101"/>
      <c r="T145" s="101"/>
      <c r="U145" s="101"/>
      <c r="V145" s="101"/>
      <c r="W145" s="101"/>
      <c r="X145" s="101"/>
      <c r="Y145" s="101"/>
      <c r="Z145" s="100"/>
      <c r="AA145" s="101"/>
      <c r="AB145" s="110"/>
      <c r="AC145" s="101"/>
      <c r="AD145" s="101"/>
      <c r="AE145" s="101"/>
      <c r="AF145" s="101"/>
      <c r="AG145" s="101"/>
      <c r="AH145" s="102"/>
      <c r="AI145" s="101"/>
      <c r="AJ145" s="110"/>
      <c r="AK145" s="101"/>
      <c r="AL145" s="102"/>
      <c r="AM145" s="101"/>
      <c r="AN145" s="101"/>
      <c r="AO145" s="101"/>
      <c r="AP145" s="101"/>
      <c r="AQ145" s="101"/>
      <c r="AR145" s="102"/>
      <c r="AS145" s="101"/>
      <c r="AT145" s="103"/>
      <c r="AU145" s="113"/>
      <c r="AV145" s="113"/>
      <c r="AW145" s="103"/>
      <c r="AX145" s="103"/>
      <c r="AY145" s="104"/>
      <c r="AZ145" s="105"/>
      <c r="BA145" s="9"/>
      <c r="BB145" s="9"/>
      <c r="BC145" s="9"/>
      <c r="BD145" s="9"/>
      <c r="BE145" s="43"/>
      <c r="BF145" s="43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</row>
    <row r="146" spans="1:93" s="4" customFormat="1" ht="320.25" outlineLevel="1" x14ac:dyDescent="0.25">
      <c r="A146" s="97">
        <f>A144+1</f>
        <v>116</v>
      </c>
      <c r="B146" s="98" t="s">
        <v>211</v>
      </c>
      <c r="C146" s="125" t="s">
        <v>182</v>
      </c>
      <c r="D146" s="99" t="s">
        <v>19</v>
      </c>
      <c r="E146" s="100">
        <f>F146+J146+N146+R146+V146+Z146+AD146+AH146+AL146</f>
        <v>663.00000000000011</v>
      </c>
      <c r="F146" s="101">
        <v>0</v>
      </c>
      <c r="G146" s="101">
        <v>0</v>
      </c>
      <c r="H146" s="101">
        <v>0</v>
      </c>
      <c r="I146" s="101">
        <f t="shared" si="169"/>
        <v>0</v>
      </c>
      <c r="J146" s="100">
        <v>353.3</v>
      </c>
      <c r="K146" s="101">
        <f t="shared" si="170"/>
        <v>11.864406779661017</v>
      </c>
      <c r="L146" s="110">
        <v>14</v>
      </c>
      <c r="M146" s="101">
        <f t="shared" si="171"/>
        <v>4946.2</v>
      </c>
      <c r="N146" s="102">
        <v>14.6</v>
      </c>
      <c r="O146" s="101">
        <f t="shared" si="172"/>
        <v>4.2372881355932206</v>
      </c>
      <c r="P146" s="110">
        <v>5</v>
      </c>
      <c r="Q146" s="101">
        <f t="shared" si="173"/>
        <v>73</v>
      </c>
      <c r="R146" s="100">
        <v>0</v>
      </c>
      <c r="S146" s="101">
        <f t="shared" si="174"/>
        <v>14.40677966101695</v>
      </c>
      <c r="T146" s="101">
        <v>17</v>
      </c>
      <c r="U146" s="101">
        <f t="shared" si="175"/>
        <v>0</v>
      </c>
      <c r="V146" s="101">
        <v>10</v>
      </c>
      <c r="W146" s="101">
        <v>4.2</v>
      </c>
      <c r="X146" s="101">
        <v>7</v>
      </c>
      <c r="Y146" s="101">
        <f t="shared" si="177"/>
        <v>70</v>
      </c>
      <c r="Z146" s="100">
        <v>62.1</v>
      </c>
      <c r="AA146" s="101">
        <f t="shared" si="178"/>
        <v>5.5084745762711869</v>
      </c>
      <c r="AB146" s="110">
        <v>6.5</v>
      </c>
      <c r="AC146" s="101">
        <f t="shared" si="179"/>
        <v>403.65000000000003</v>
      </c>
      <c r="AD146" s="101">
        <v>0</v>
      </c>
      <c r="AE146" s="101"/>
      <c r="AF146" s="101"/>
      <c r="AG146" s="101">
        <f t="shared" si="180"/>
        <v>0</v>
      </c>
      <c r="AH146" s="102">
        <v>209.8</v>
      </c>
      <c r="AI146" s="101">
        <f t="shared" si="181"/>
        <v>7.6271186440677967</v>
      </c>
      <c r="AJ146" s="110">
        <v>9</v>
      </c>
      <c r="AK146" s="101">
        <f t="shared" si="182"/>
        <v>1888.2</v>
      </c>
      <c r="AL146" s="102">
        <v>13.2</v>
      </c>
      <c r="AM146" s="101">
        <f t="shared" si="183"/>
        <v>11.864406779661017</v>
      </c>
      <c r="AN146" s="101">
        <v>14</v>
      </c>
      <c r="AO146" s="101">
        <f t="shared" si="184"/>
        <v>184.79999999999998</v>
      </c>
      <c r="AP146" s="101">
        <f t="shared" si="185"/>
        <v>6411.7372881355932</v>
      </c>
      <c r="AQ146" s="101">
        <f>I146+M146+Q146+U146+Y146+AC146+AG146+AK146+AO146</f>
        <v>7565.8499999999995</v>
      </c>
      <c r="AR146" s="102">
        <v>0</v>
      </c>
      <c r="AS146" s="101" t="s">
        <v>270</v>
      </c>
      <c r="AT146" s="103">
        <v>0</v>
      </c>
      <c r="AU146" s="113">
        <f t="shared" si="217"/>
        <v>5.0847457627118651</v>
      </c>
      <c r="AV146" s="113">
        <v>6</v>
      </c>
      <c r="AW146" s="103">
        <f t="shared" si="188"/>
        <v>0</v>
      </c>
      <c r="AX146" s="103">
        <f t="shared" si="190"/>
        <v>0</v>
      </c>
      <c r="AY146" s="104">
        <f t="shared" si="189"/>
        <v>6411.7372881355932</v>
      </c>
      <c r="AZ146" s="105">
        <f t="shared" si="189"/>
        <v>7565.8499999999995</v>
      </c>
      <c r="BA146" s="9"/>
      <c r="BB146" s="9"/>
      <c r="BC146" s="9"/>
      <c r="BD146" s="9"/>
      <c r="BE146" s="43"/>
      <c r="BF146" s="43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</row>
    <row r="147" spans="1:93" s="4" customFormat="1" ht="45.75" outlineLevel="1" x14ac:dyDescent="0.25">
      <c r="A147" s="153" t="s">
        <v>273</v>
      </c>
      <c r="B147" s="154"/>
      <c r="C147" s="155"/>
      <c r="D147" s="99"/>
      <c r="E147" s="100"/>
      <c r="F147" s="101"/>
      <c r="G147" s="101">
        <v>0</v>
      </c>
      <c r="H147" s="101">
        <v>0</v>
      </c>
      <c r="I147" s="101"/>
      <c r="J147" s="100"/>
      <c r="K147" s="101"/>
      <c r="L147" s="110"/>
      <c r="M147" s="101"/>
      <c r="N147" s="102"/>
      <c r="O147" s="101"/>
      <c r="P147" s="110"/>
      <c r="Q147" s="101"/>
      <c r="R147" s="100"/>
      <c r="S147" s="101"/>
      <c r="T147" s="101"/>
      <c r="U147" s="101"/>
      <c r="V147" s="101"/>
      <c r="W147" s="101"/>
      <c r="X147" s="101"/>
      <c r="Y147" s="101"/>
      <c r="Z147" s="100"/>
      <c r="AA147" s="101"/>
      <c r="AB147" s="110"/>
      <c r="AC147" s="101"/>
      <c r="AD147" s="101"/>
      <c r="AE147" s="101"/>
      <c r="AF147" s="101"/>
      <c r="AG147" s="101"/>
      <c r="AH147" s="102"/>
      <c r="AI147" s="101"/>
      <c r="AJ147" s="110"/>
      <c r="AK147" s="101"/>
      <c r="AL147" s="102"/>
      <c r="AM147" s="101"/>
      <c r="AN147" s="101"/>
      <c r="AO147" s="101"/>
      <c r="AP147" s="101"/>
      <c r="AQ147" s="101"/>
      <c r="AR147" s="102"/>
      <c r="AS147" s="101"/>
      <c r="AT147" s="103"/>
      <c r="AU147" s="113"/>
      <c r="AV147" s="113"/>
      <c r="AW147" s="103"/>
      <c r="AX147" s="103"/>
      <c r="AY147" s="104"/>
      <c r="AZ147" s="105"/>
      <c r="BA147" s="9"/>
      <c r="BB147" s="9"/>
      <c r="BC147" s="9"/>
      <c r="BD147" s="9"/>
      <c r="BE147" s="43"/>
      <c r="BF147" s="43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</row>
    <row r="148" spans="1:93" s="4" customFormat="1" ht="320.25" outlineLevel="1" x14ac:dyDescent="0.25">
      <c r="A148" s="97">
        <f>A146+1</f>
        <v>117</v>
      </c>
      <c r="B148" s="98" t="s">
        <v>211</v>
      </c>
      <c r="C148" s="125" t="s">
        <v>145</v>
      </c>
      <c r="D148" s="99" t="s">
        <v>19</v>
      </c>
      <c r="E148" s="100">
        <f>F148+J148+N148+R148+V148+Z148+AD148+AH148+AL148</f>
        <v>449.7</v>
      </c>
      <c r="F148" s="101">
        <v>0</v>
      </c>
      <c r="G148" s="101">
        <v>0</v>
      </c>
      <c r="H148" s="101">
        <v>0</v>
      </c>
      <c r="I148" s="101">
        <f>H148*F148</f>
        <v>0</v>
      </c>
      <c r="J148" s="100">
        <f>146</f>
        <v>146</v>
      </c>
      <c r="K148" s="101">
        <f>L148/1.18</f>
        <v>11.864406779661017</v>
      </c>
      <c r="L148" s="110">
        <v>14</v>
      </c>
      <c r="M148" s="101">
        <f>L148*J148</f>
        <v>2044</v>
      </c>
      <c r="N148" s="102">
        <v>135.69999999999999</v>
      </c>
      <c r="O148" s="101">
        <f>P148/1.18</f>
        <v>4.2372881355932206</v>
      </c>
      <c r="P148" s="110">
        <v>5</v>
      </c>
      <c r="Q148" s="101">
        <f>P148*N148</f>
        <v>678.5</v>
      </c>
      <c r="R148" s="100">
        <v>0</v>
      </c>
      <c r="S148" s="101">
        <f>T148/1.18</f>
        <v>14.40677966101695</v>
      </c>
      <c r="T148" s="101">
        <v>17</v>
      </c>
      <c r="U148" s="101">
        <f>T148*R148</f>
        <v>0</v>
      </c>
      <c r="V148" s="101">
        <v>0</v>
      </c>
      <c r="W148" s="101">
        <f>X148/1.18</f>
        <v>5.9322033898305087</v>
      </c>
      <c r="X148" s="101">
        <v>7</v>
      </c>
      <c r="Y148" s="101">
        <f>X148*V148</f>
        <v>0</v>
      </c>
      <c r="Z148" s="100">
        <v>83.1</v>
      </c>
      <c r="AA148" s="101">
        <f>AB148/1.18</f>
        <v>5.5084745762711869</v>
      </c>
      <c r="AB148" s="110">
        <v>6.5</v>
      </c>
      <c r="AC148" s="101">
        <f>AB148*Z148</f>
        <v>540.15</v>
      </c>
      <c r="AD148" s="101">
        <v>0</v>
      </c>
      <c r="AE148" s="101"/>
      <c r="AF148" s="101"/>
      <c r="AG148" s="101">
        <f>AF148*AD148</f>
        <v>0</v>
      </c>
      <c r="AH148" s="102">
        <v>77.3</v>
      </c>
      <c r="AI148" s="101">
        <f>AJ148/1.18</f>
        <v>7.6271186440677967</v>
      </c>
      <c r="AJ148" s="110">
        <v>9</v>
      </c>
      <c r="AK148" s="101">
        <f>AJ148*AH148</f>
        <v>695.69999999999993</v>
      </c>
      <c r="AL148" s="102">
        <v>7.6</v>
      </c>
      <c r="AM148" s="101">
        <f>AN148/1.18</f>
        <v>11.864406779661017</v>
      </c>
      <c r="AN148" s="101">
        <v>14</v>
      </c>
      <c r="AO148" s="101">
        <f>AN148*AL148</f>
        <v>106.39999999999999</v>
      </c>
      <c r="AP148" s="101">
        <f t="shared" si="185"/>
        <v>3444.7033898305085</v>
      </c>
      <c r="AQ148" s="101">
        <f>I148+M148+Q148+U148+Y148+AC148+AG148+AK148+AO148</f>
        <v>4064.75</v>
      </c>
      <c r="AR148" s="102">
        <v>200</v>
      </c>
      <c r="AS148" s="101" t="s">
        <v>270</v>
      </c>
      <c r="AT148" s="103">
        <v>0</v>
      </c>
      <c r="AU148" s="113">
        <f t="shared" si="217"/>
        <v>5.0847457627118651</v>
      </c>
      <c r="AV148" s="113">
        <v>6</v>
      </c>
      <c r="AW148" s="103">
        <f>AU148*AR148</f>
        <v>1016.949152542373</v>
      </c>
      <c r="AX148" s="103">
        <f>AV148*AR148</f>
        <v>1200</v>
      </c>
      <c r="AY148" s="104">
        <f t="shared" si="189"/>
        <v>4461.6525423728817</v>
      </c>
      <c r="AZ148" s="105">
        <f t="shared" si="189"/>
        <v>5264.75</v>
      </c>
      <c r="BA148" s="9"/>
      <c r="BB148" s="9"/>
      <c r="BC148" s="9"/>
      <c r="BD148" s="9"/>
      <c r="BE148" s="43"/>
      <c r="BF148" s="43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</row>
    <row r="149" spans="1:93" s="4" customFormat="1" ht="45.75" outlineLevel="1" x14ac:dyDescent="0.25">
      <c r="A149" s="153" t="s">
        <v>275</v>
      </c>
      <c r="B149" s="154"/>
      <c r="C149" s="155"/>
      <c r="D149" s="99"/>
      <c r="E149" s="100"/>
      <c r="F149" s="101"/>
      <c r="G149" s="101">
        <v>0</v>
      </c>
      <c r="H149" s="101">
        <v>0</v>
      </c>
      <c r="I149" s="101"/>
      <c r="J149" s="100"/>
      <c r="K149" s="101"/>
      <c r="L149" s="110"/>
      <c r="M149" s="101"/>
      <c r="N149" s="102"/>
      <c r="O149" s="101"/>
      <c r="P149" s="110"/>
      <c r="Q149" s="101"/>
      <c r="R149" s="100"/>
      <c r="S149" s="101"/>
      <c r="T149" s="101"/>
      <c r="U149" s="101"/>
      <c r="V149" s="101"/>
      <c r="W149" s="101"/>
      <c r="X149" s="101"/>
      <c r="Y149" s="101"/>
      <c r="Z149" s="100"/>
      <c r="AA149" s="101"/>
      <c r="AB149" s="110"/>
      <c r="AC149" s="101"/>
      <c r="AD149" s="101"/>
      <c r="AE149" s="101"/>
      <c r="AF149" s="101"/>
      <c r="AG149" s="101"/>
      <c r="AH149" s="102"/>
      <c r="AI149" s="101"/>
      <c r="AJ149" s="110"/>
      <c r="AK149" s="101"/>
      <c r="AL149" s="102"/>
      <c r="AM149" s="101"/>
      <c r="AN149" s="101"/>
      <c r="AO149" s="101"/>
      <c r="AP149" s="101"/>
      <c r="AQ149" s="101"/>
      <c r="AR149" s="102"/>
      <c r="AS149" s="101"/>
      <c r="AT149" s="103"/>
      <c r="AU149" s="113"/>
      <c r="AV149" s="113"/>
      <c r="AW149" s="103"/>
      <c r="AX149" s="103"/>
      <c r="AY149" s="104"/>
      <c r="AZ149" s="105"/>
      <c r="BA149" s="9"/>
      <c r="BB149" s="9"/>
      <c r="BC149" s="9"/>
      <c r="BD149" s="9"/>
      <c r="BE149" s="43"/>
      <c r="BF149" s="43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</row>
    <row r="150" spans="1:93" s="4" customFormat="1" ht="320.25" outlineLevel="1" x14ac:dyDescent="0.25">
      <c r="A150" s="97">
        <f>A148+1</f>
        <v>118</v>
      </c>
      <c r="B150" s="98" t="s">
        <v>211</v>
      </c>
      <c r="C150" s="125" t="s">
        <v>146</v>
      </c>
      <c r="D150" s="99" t="s">
        <v>19</v>
      </c>
      <c r="E150" s="100">
        <f>F150+J150+N150+R150+V150+Z150+AD150+AH150+AL150</f>
        <v>479.20000000000005</v>
      </c>
      <c r="F150" s="101">
        <v>0</v>
      </c>
      <c r="G150" s="101">
        <v>0</v>
      </c>
      <c r="H150" s="101">
        <v>0</v>
      </c>
      <c r="I150" s="101">
        <f>H150*F150</f>
        <v>0</v>
      </c>
      <c r="J150" s="100">
        <v>96.1</v>
      </c>
      <c r="K150" s="101">
        <f>L150/1.18</f>
        <v>11.864406779661017</v>
      </c>
      <c r="L150" s="110">
        <v>14</v>
      </c>
      <c r="M150" s="101">
        <f>L150*J150</f>
        <v>1345.3999999999999</v>
      </c>
      <c r="N150" s="102">
        <v>117</v>
      </c>
      <c r="O150" s="101">
        <f>P150/1.18</f>
        <v>4.2372881355932206</v>
      </c>
      <c r="P150" s="110">
        <v>5</v>
      </c>
      <c r="Q150" s="101">
        <f>P150*N150</f>
        <v>585</v>
      </c>
      <c r="R150" s="100">
        <v>0</v>
      </c>
      <c r="S150" s="101">
        <f>T150/1.18</f>
        <v>14.40677966101695</v>
      </c>
      <c r="T150" s="101">
        <v>17</v>
      </c>
      <c r="U150" s="101">
        <f>T150*R150</f>
        <v>0</v>
      </c>
      <c r="V150" s="101">
        <v>0</v>
      </c>
      <c r="W150" s="101">
        <f>X150/1.18</f>
        <v>5.9322033898305087</v>
      </c>
      <c r="X150" s="101">
        <v>7</v>
      </c>
      <c r="Y150" s="101">
        <f>X150*V150</f>
        <v>0</v>
      </c>
      <c r="Z150" s="100">
        <v>169</v>
      </c>
      <c r="AA150" s="101">
        <f>AB150/1.18</f>
        <v>5.5084745762711869</v>
      </c>
      <c r="AB150" s="110">
        <v>6.5</v>
      </c>
      <c r="AC150" s="101">
        <f>AB150*Z150</f>
        <v>1098.5</v>
      </c>
      <c r="AD150" s="101">
        <v>0</v>
      </c>
      <c r="AE150" s="101"/>
      <c r="AF150" s="101"/>
      <c r="AG150" s="101">
        <f>AF150*AD150</f>
        <v>0</v>
      </c>
      <c r="AH150" s="102">
        <v>96.1</v>
      </c>
      <c r="AI150" s="101">
        <f>AJ150/1.18</f>
        <v>7.6271186440677967</v>
      </c>
      <c r="AJ150" s="110">
        <v>9</v>
      </c>
      <c r="AK150" s="101">
        <f>AJ150*AH150</f>
        <v>864.9</v>
      </c>
      <c r="AL150" s="102">
        <v>1</v>
      </c>
      <c r="AM150" s="101">
        <f>AN150/1.18</f>
        <v>11.864406779661017</v>
      </c>
      <c r="AN150" s="101">
        <v>14</v>
      </c>
      <c r="AO150" s="101">
        <f>AN150*AL150</f>
        <v>14</v>
      </c>
      <c r="AP150" s="101">
        <f t="shared" si="185"/>
        <v>3311.6949152542375</v>
      </c>
      <c r="AQ150" s="101">
        <f>I150+M150+Q150+U150+Y150+AC150+AG150+AK150+AO150</f>
        <v>3907.7999999999997</v>
      </c>
      <c r="AR150" s="102">
        <v>130</v>
      </c>
      <c r="AS150" s="101" t="s">
        <v>270</v>
      </c>
      <c r="AT150" s="103">
        <v>0</v>
      </c>
      <c r="AU150" s="113">
        <f t="shared" si="217"/>
        <v>5.0847457627118651</v>
      </c>
      <c r="AV150" s="113">
        <v>6</v>
      </c>
      <c r="AW150" s="103">
        <f>AU150*AR150</f>
        <v>661.01694915254245</v>
      </c>
      <c r="AX150" s="103">
        <f>AV150*AR150</f>
        <v>780</v>
      </c>
      <c r="AY150" s="104">
        <f t="shared" si="189"/>
        <v>3972.71186440678</v>
      </c>
      <c r="AZ150" s="105">
        <f t="shared" si="189"/>
        <v>4687.7999999999993</v>
      </c>
      <c r="BA150" s="9"/>
      <c r="BB150" s="9"/>
      <c r="BC150" s="9"/>
      <c r="BD150" s="9"/>
      <c r="BE150" s="43"/>
      <c r="BF150" s="43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</row>
    <row r="151" spans="1:93" s="4" customFormat="1" ht="45.75" outlineLevel="1" x14ac:dyDescent="0.25">
      <c r="A151" s="153" t="s">
        <v>276</v>
      </c>
      <c r="B151" s="154"/>
      <c r="C151" s="155"/>
      <c r="D151" s="99"/>
      <c r="E151" s="100"/>
      <c r="F151" s="101"/>
      <c r="G151" s="101">
        <v>0</v>
      </c>
      <c r="H151" s="101">
        <v>0</v>
      </c>
      <c r="I151" s="101"/>
      <c r="J151" s="100"/>
      <c r="K151" s="101"/>
      <c r="L151" s="110"/>
      <c r="M151" s="101"/>
      <c r="N151" s="102"/>
      <c r="O151" s="101"/>
      <c r="P151" s="110"/>
      <c r="Q151" s="101"/>
      <c r="R151" s="100"/>
      <c r="S151" s="101"/>
      <c r="T151" s="101"/>
      <c r="U151" s="101"/>
      <c r="V151" s="101"/>
      <c r="W151" s="101"/>
      <c r="X151" s="101"/>
      <c r="Y151" s="101"/>
      <c r="Z151" s="100"/>
      <c r="AA151" s="101"/>
      <c r="AB151" s="110"/>
      <c r="AC151" s="101"/>
      <c r="AD151" s="101"/>
      <c r="AE151" s="101"/>
      <c r="AF151" s="101"/>
      <c r="AG151" s="101"/>
      <c r="AH151" s="102"/>
      <c r="AI151" s="101"/>
      <c r="AJ151" s="110"/>
      <c r="AK151" s="101"/>
      <c r="AL151" s="102"/>
      <c r="AM151" s="101"/>
      <c r="AN151" s="101"/>
      <c r="AO151" s="101"/>
      <c r="AP151" s="101"/>
      <c r="AQ151" s="101"/>
      <c r="AR151" s="102"/>
      <c r="AS151" s="101"/>
      <c r="AT151" s="103"/>
      <c r="AU151" s="113"/>
      <c r="AV151" s="113"/>
      <c r="AW151" s="103"/>
      <c r="AX151" s="103"/>
      <c r="AY151" s="104"/>
      <c r="AZ151" s="105"/>
      <c r="BA151" s="9"/>
      <c r="BB151" s="9"/>
      <c r="BC151" s="9"/>
      <c r="BD151" s="9"/>
      <c r="BE151" s="43"/>
      <c r="BF151" s="43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</row>
    <row r="152" spans="1:93" s="4" customFormat="1" ht="320.25" outlineLevel="1" x14ac:dyDescent="0.25">
      <c r="A152" s="97">
        <f>A150+1</f>
        <v>119</v>
      </c>
      <c r="B152" s="98" t="s">
        <v>211</v>
      </c>
      <c r="C152" s="125" t="s">
        <v>147</v>
      </c>
      <c r="D152" s="99" t="s">
        <v>19</v>
      </c>
      <c r="E152" s="100">
        <f>F152+J152+N152+R152+V152+Z152+AD152+AH152+AL152</f>
        <v>649.9</v>
      </c>
      <c r="F152" s="101">
        <v>0</v>
      </c>
      <c r="G152" s="101">
        <v>0</v>
      </c>
      <c r="H152" s="101">
        <v>0</v>
      </c>
      <c r="I152" s="101">
        <f t="shared" ref="I152" si="221">H152*F152</f>
        <v>0</v>
      </c>
      <c r="J152" s="100">
        <v>69.2</v>
      </c>
      <c r="K152" s="101">
        <f t="shared" ref="K152" si="222">L152/1.18</f>
        <v>11.864406779661017</v>
      </c>
      <c r="L152" s="110">
        <v>14</v>
      </c>
      <c r="M152" s="101">
        <f t="shared" ref="M152" si="223">L152*J152</f>
        <v>968.80000000000007</v>
      </c>
      <c r="N152" s="102">
        <v>103.1</v>
      </c>
      <c r="O152" s="101">
        <f t="shared" ref="O152" si="224">P152/1.18</f>
        <v>4.2372881355932206</v>
      </c>
      <c r="P152" s="110">
        <v>5</v>
      </c>
      <c r="Q152" s="101">
        <f t="shared" ref="Q152" si="225">P152*N152</f>
        <v>515.5</v>
      </c>
      <c r="R152" s="100">
        <v>0</v>
      </c>
      <c r="S152" s="101">
        <f t="shared" ref="S152" si="226">T152/1.18</f>
        <v>14.40677966101695</v>
      </c>
      <c r="T152" s="101">
        <v>17</v>
      </c>
      <c r="U152" s="101">
        <f t="shared" ref="U152" si="227">T152*R152</f>
        <v>0</v>
      </c>
      <c r="V152" s="101">
        <v>27.1</v>
      </c>
      <c r="W152" s="101">
        <f t="shared" ref="W152" si="228">X152/1.18</f>
        <v>5.9322033898305087</v>
      </c>
      <c r="X152" s="101">
        <v>7</v>
      </c>
      <c r="Y152" s="101">
        <f t="shared" ref="Y152" si="229">X152*V152</f>
        <v>189.70000000000002</v>
      </c>
      <c r="Z152" s="100">
        <v>252.6</v>
      </c>
      <c r="AA152" s="101">
        <f t="shared" ref="AA152" si="230">AB152/1.18</f>
        <v>5.5084745762711869</v>
      </c>
      <c r="AB152" s="110">
        <v>6.5</v>
      </c>
      <c r="AC152" s="101">
        <f t="shared" ref="AC152" si="231">AB152*Z152</f>
        <v>1641.8999999999999</v>
      </c>
      <c r="AD152" s="101">
        <v>0</v>
      </c>
      <c r="AE152" s="101"/>
      <c r="AF152" s="101"/>
      <c r="AG152" s="101">
        <f t="shared" ref="AG152" si="232">AF152*AD152</f>
        <v>0</v>
      </c>
      <c r="AH152" s="102">
        <v>189.4</v>
      </c>
      <c r="AI152" s="101">
        <f t="shared" ref="AI152" si="233">AJ152/1.18</f>
        <v>7.6271186440677967</v>
      </c>
      <c r="AJ152" s="110">
        <v>9</v>
      </c>
      <c r="AK152" s="101">
        <f t="shared" ref="AK152" si="234">AJ152*AH152</f>
        <v>1704.6000000000001</v>
      </c>
      <c r="AL152" s="102">
        <v>8.5</v>
      </c>
      <c r="AM152" s="101">
        <f t="shared" ref="AM152" si="235">AN152/1.18</f>
        <v>11.864406779661017</v>
      </c>
      <c r="AN152" s="101">
        <v>14</v>
      </c>
      <c r="AO152" s="101">
        <f t="shared" ref="AO152" si="236">AN152*AL152</f>
        <v>119</v>
      </c>
      <c r="AP152" s="101">
        <f t="shared" si="185"/>
        <v>4355.5084745762715</v>
      </c>
      <c r="AQ152" s="101">
        <f>I152+M152+Q152+U152+Y152+AC152+AG152+AK152+AO152</f>
        <v>5139.5</v>
      </c>
      <c r="AR152" s="102">
        <v>0</v>
      </c>
      <c r="AS152" s="101" t="s">
        <v>270</v>
      </c>
      <c r="AT152" s="103">
        <v>0</v>
      </c>
      <c r="AU152" s="113">
        <f t="shared" si="217"/>
        <v>5.0847457627118651</v>
      </c>
      <c r="AV152" s="113">
        <v>6</v>
      </c>
      <c r="AW152" s="103">
        <f>AU152*AR152</f>
        <v>0</v>
      </c>
      <c r="AX152" s="103">
        <f>AV152*AR152</f>
        <v>0</v>
      </c>
      <c r="AY152" s="104">
        <f t="shared" si="189"/>
        <v>4355.5084745762715</v>
      </c>
      <c r="AZ152" s="105">
        <f t="shared" si="189"/>
        <v>5139.5</v>
      </c>
      <c r="BA152" s="9"/>
      <c r="BB152" s="9"/>
      <c r="BC152" s="9"/>
      <c r="BD152" s="9"/>
      <c r="BE152" s="43"/>
      <c r="BF152" s="43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</row>
    <row r="153" spans="1:93" s="30" customFormat="1" ht="45.75" outlineLevel="1" x14ac:dyDescent="0.3">
      <c r="A153" s="145" t="s">
        <v>69</v>
      </c>
      <c r="B153" s="146"/>
      <c r="C153" s="146"/>
      <c r="D153" s="120"/>
      <c r="E153" s="100"/>
      <c r="F153" s="120"/>
      <c r="G153" s="101">
        <v>0</v>
      </c>
      <c r="H153" s="101">
        <v>0</v>
      </c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120"/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0"/>
      <c r="AF153" s="120"/>
      <c r="AG153" s="120"/>
      <c r="AH153" s="120"/>
      <c r="AI153" s="120"/>
      <c r="AJ153" s="120"/>
      <c r="AK153" s="120"/>
      <c r="AL153" s="120"/>
      <c r="AM153" s="120"/>
      <c r="AN153" s="120"/>
      <c r="AO153" s="120"/>
      <c r="AP153" s="107"/>
      <c r="AQ153" s="107"/>
      <c r="AR153" s="120"/>
      <c r="AS153" s="101"/>
      <c r="AT153" s="120"/>
      <c r="AU153" s="120"/>
      <c r="AV153" s="120"/>
      <c r="AW153" s="120"/>
      <c r="AX153" s="120"/>
      <c r="AY153" s="107"/>
      <c r="AZ153" s="108"/>
      <c r="BA153" s="28"/>
      <c r="BB153" s="28"/>
      <c r="BC153" s="28"/>
      <c r="BD153" s="28"/>
      <c r="BE153" s="73"/>
      <c r="BF153" s="73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</row>
    <row r="154" spans="1:93" s="4" customFormat="1" ht="274.5" outlineLevel="1" x14ac:dyDescent="0.25">
      <c r="A154" s="97">
        <f>A152+1</f>
        <v>120</v>
      </c>
      <c r="B154" s="98" t="s">
        <v>211</v>
      </c>
      <c r="C154" s="125" t="s">
        <v>148</v>
      </c>
      <c r="D154" s="99" t="s">
        <v>19</v>
      </c>
      <c r="E154" s="100">
        <f>F154+J154+N154+R154+V154+Z154+AD154+AH154+AL154</f>
        <v>656.49999999999989</v>
      </c>
      <c r="F154" s="101">
        <v>0</v>
      </c>
      <c r="G154" s="101">
        <v>0</v>
      </c>
      <c r="H154" s="101">
        <v>0</v>
      </c>
      <c r="I154" s="101">
        <f t="shared" si="169"/>
        <v>0</v>
      </c>
      <c r="J154" s="100">
        <f>146.1+47.1+33.2</f>
        <v>226.39999999999998</v>
      </c>
      <c r="K154" s="101">
        <f t="shared" si="170"/>
        <v>11.864406779661017</v>
      </c>
      <c r="L154" s="101">
        <v>14</v>
      </c>
      <c r="M154" s="101">
        <f t="shared" si="171"/>
        <v>3169.5999999999995</v>
      </c>
      <c r="N154" s="102">
        <f>62.3+17.5+52.8+57.6</f>
        <v>190.2</v>
      </c>
      <c r="O154" s="101">
        <f t="shared" si="172"/>
        <v>4.2372881355932206</v>
      </c>
      <c r="P154" s="101">
        <v>5</v>
      </c>
      <c r="Q154" s="101">
        <f t="shared" si="173"/>
        <v>951</v>
      </c>
      <c r="R154" s="100">
        <v>0</v>
      </c>
      <c r="S154" s="101">
        <f t="shared" si="174"/>
        <v>14.40677966101695</v>
      </c>
      <c r="T154" s="101">
        <v>17</v>
      </c>
      <c r="U154" s="101">
        <f t="shared" si="175"/>
        <v>0</v>
      </c>
      <c r="V154" s="101">
        <v>0</v>
      </c>
      <c r="W154" s="101">
        <f t="shared" ref="W154:W168" si="237">X154/1.18</f>
        <v>5.9322033898305087</v>
      </c>
      <c r="X154" s="101">
        <v>7</v>
      </c>
      <c r="Y154" s="101">
        <f t="shared" si="177"/>
        <v>0</v>
      </c>
      <c r="Z154" s="100">
        <f>15.9+23.8+35.8+17.6+9.2+10.8+63.4+35.2+10.4</f>
        <v>222.1</v>
      </c>
      <c r="AA154" s="101">
        <f t="shared" si="178"/>
        <v>5.5084745762711869</v>
      </c>
      <c r="AB154" s="101">
        <v>6.5</v>
      </c>
      <c r="AC154" s="101">
        <f t="shared" si="179"/>
        <v>1443.6499999999999</v>
      </c>
      <c r="AD154" s="101">
        <v>0</v>
      </c>
      <c r="AE154" s="101"/>
      <c r="AF154" s="101"/>
      <c r="AG154" s="101">
        <f t="shared" si="180"/>
        <v>0</v>
      </c>
      <c r="AH154" s="102">
        <v>0</v>
      </c>
      <c r="AI154" s="101">
        <f t="shared" si="181"/>
        <v>7.6271186440677967</v>
      </c>
      <c r="AJ154" s="110">
        <v>9</v>
      </c>
      <c r="AK154" s="101">
        <f t="shared" si="182"/>
        <v>0</v>
      </c>
      <c r="AL154" s="102">
        <v>17.8</v>
      </c>
      <c r="AM154" s="101">
        <f t="shared" si="183"/>
        <v>11.864406779661017</v>
      </c>
      <c r="AN154" s="101">
        <v>14</v>
      </c>
      <c r="AO154" s="101">
        <f t="shared" si="184"/>
        <v>249.20000000000002</v>
      </c>
      <c r="AP154" s="101">
        <f t="shared" si="185"/>
        <v>4926.6525423728808</v>
      </c>
      <c r="AQ154" s="101">
        <f>I154+M154+Q154+U154+Y154+AC154+AG154+AK154+AO154</f>
        <v>5813.4499999999989</v>
      </c>
      <c r="AR154" s="102">
        <v>375</v>
      </c>
      <c r="AS154" s="101" t="s">
        <v>270</v>
      </c>
      <c r="AT154" s="103">
        <v>0</v>
      </c>
      <c r="AU154" s="103">
        <f t="shared" si="187"/>
        <v>5.0847457627118651</v>
      </c>
      <c r="AV154" s="103">
        <v>6</v>
      </c>
      <c r="AW154" s="103">
        <f t="shared" si="188"/>
        <v>1906.7796610169494</v>
      </c>
      <c r="AX154" s="103">
        <f t="shared" si="190"/>
        <v>2250</v>
      </c>
      <c r="AY154" s="104">
        <f t="shared" si="189"/>
        <v>6833.4322033898297</v>
      </c>
      <c r="AZ154" s="105">
        <f t="shared" si="189"/>
        <v>8063.4499999999989</v>
      </c>
      <c r="BA154" s="9"/>
      <c r="BB154" s="9"/>
      <c r="BC154" s="9"/>
      <c r="BD154" s="9"/>
      <c r="BE154" s="43"/>
      <c r="BF154" s="43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</row>
    <row r="155" spans="1:93" s="4" customFormat="1" ht="45.75" outlineLevel="1" x14ac:dyDescent="0.25">
      <c r="A155" s="147" t="s">
        <v>200</v>
      </c>
      <c r="B155" s="148"/>
      <c r="C155" s="148"/>
      <c r="D155" s="106"/>
      <c r="E155" s="100"/>
      <c r="F155" s="106"/>
      <c r="G155" s="101">
        <v>0</v>
      </c>
      <c r="H155" s="101">
        <v>0</v>
      </c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  <c r="AG155" s="106"/>
      <c r="AH155" s="106"/>
      <c r="AI155" s="106"/>
      <c r="AJ155" s="106"/>
      <c r="AK155" s="106"/>
      <c r="AL155" s="106"/>
      <c r="AM155" s="106"/>
      <c r="AN155" s="106"/>
      <c r="AO155" s="106"/>
      <c r="AP155" s="107"/>
      <c r="AQ155" s="117"/>
      <c r="AR155" s="106"/>
      <c r="AS155" s="101"/>
      <c r="AT155" s="106"/>
      <c r="AU155" s="106"/>
      <c r="AV155" s="106"/>
      <c r="AW155" s="106"/>
      <c r="AX155" s="106"/>
      <c r="AY155" s="107"/>
      <c r="AZ155" s="108"/>
      <c r="BA155" s="9"/>
      <c r="BB155" s="9"/>
      <c r="BC155" s="9"/>
      <c r="BD155" s="9"/>
      <c r="BE155" s="43"/>
      <c r="BF155" s="43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</row>
    <row r="156" spans="1:93" s="4" customFormat="1" ht="183" outlineLevel="1" x14ac:dyDescent="0.25">
      <c r="A156" s="97">
        <f>A154+1</f>
        <v>121</v>
      </c>
      <c r="B156" s="98" t="s">
        <v>215</v>
      </c>
      <c r="C156" s="125" t="s">
        <v>162</v>
      </c>
      <c r="D156" s="99" t="s">
        <v>19</v>
      </c>
      <c r="E156" s="100">
        <f>F156+J156+N156+R156+V156+Z156+AD156+AH156+AL156</f>
        <v>2390.9</v>
      </c>
      <c r="F156" s="101">
        <v>0</v>
      </c>
      <c r="G156" s="101">
        <v>0</v>
      </c>
      <c r="H156" s="101">
        <v>0</v>
      </c>
      <c r="I156" s="101">
        <f>H156*F156</f>
        <v>0</v>
      </c>
      <c r="J156" s="100">
        <v>638.29999999999995</v>
      </c>
      <c r="K156" s="101">
        <f t="shared" ref="K156:K166" si="238">L156/1.18</f>
        <v>11.864406779661017</v>
      </c>
      <c r="L156" s="101">
        <v>14</v>
      </c>
      <c r="M156" s="101">
        <f>L156*J156</f>
        <v>8936.1999999999989</v>
      </c>
      <c r="N156" s="102">
        <v>497.4</v>
      </c>
      <c r="O156" s="101">
        <f>P156/1.18</f>
        <v>4.2372881355932206</v>
      </c>
      <c r="P156" s="101">
        <v>5</v>
      </c>
      <c r="Q156" s="101">
        <f>P156*N156</f>
        <v>2487</v>
      </c>
      <c r="R156" s="100">
        <v>137</v>
      </c>
      <c r="S156" s="101">
        <f>T156/1.18</f>
        <v>14.40677966101695</v>
      </c>
      <c r="T156" s="101">
        <v>17</v>
      </c>
      <c r="U156" s="101">
        <f>T156*R156</f>
        <v>2329</v>
      </c>
      <c r="V156" s="101">
        <v>54</v>
      </c>
      <c r="W156" s="101">
        <f>X156/1.18</f>
        <v>5.9322033898305087</v>
      </c>
      <c r="X156" s="101">
        <v>7</v>
      </c>
      <c r="Y156" s="101">
        <f>X156*V156</f>
        <v>378</v>
      </c>
      <c r="Z156" s="100">
        <v>379.7</v>
      </c>
      <c r="AA156" s="101">
        <f t="shared" ref="AA156:AA166" si="239">AB156/1.18</f>
        <v>5.5084745762711869</v>
      </c>
      <c r="AB156" s="101">
        <v>6.5</v>
      </c>
      <c r="AC156" s="101">
        <f>AB156*Z156</f>
        <v>2468.0499999999997</v>
      </c>
      <c r="AD156" s="101">
        <v>0</v>
      </c>
      <c r="AE156" s="101"/>
      <c r="AF156" s="101"/>
      <c r="AG156" s="101">
        <f>AF156*AD156</f>
        <v>0</v>
      </c>
      <c r="AH156" s="102">
        <v>609.1</v>
      </c>
      <c r="AI156" s="101">
        <f t="shared" ref="AI156:AI166" si="240">AJ156/1.18</f>
        <v>7.6271186440677967</v>
      </c>
      <c r="AJ156" s="110">
        <v>9</v>
      </c>
      <c r="AK156" s="101">
        <f>AJ156*AH156</f>
        <v>5481.9000000000005</v>
      </c>
      <c r="AL156" s="102">
        <v>75.400000000000006</v>
      </c>
      <c r="AM156" s="101">
        <f>AN156/1.18</f>
        <v>11.864406779661017</v>
      </c>
      <c r="AN156" s="101">
        <v>14</v>
      </c>
      <c r="AO156" s="101">
        <f>AN156*AL156</f>
        <v>1055.6000000000001</v>
      </c>
      <c r="AP156" s="101">
        <f t="shared" si="185"/>
        <v>19606.567796610172</v>
      </c>
      <c r="AQ156" s="101">
        <f>I156+M156+Q156+U156+Y156+AC156+AG156+AK156+AO156</f>
        <v>23135.75</v>
      </c>
      <c r="AR156" s="102">
        <v>863.8</v>
      </c>
      <c r="AS156" s="101" t="s">
        <v>270</v>
      </c>
      <c r="AT156" s="103">
        <v>0</v>
      </c>
      <c r="AU156" s="103">
        <f t="shared" ref="AU156:AU166" si="241">AV156/1.18</f>
        <v>5.0847457627118651</v>
      </c>
      <c r="AV156" s="103">
        <v>6</v>
      </c>
      <c r="AW156" s="103">
        <f>AU156*AR156</f>
        <v>4392.203389830509</v>
      </c>
      <c r="AX156" s="103">
        <f>AV156*AR156</f>
        <v>5182.7999999999993</v>
      </c>
      <c r="AY156" s="104">
        <f t="shared" si="189"/>
        <v>23998.771186440681</v>
      </c>
      <c r="AZ156" s="105">
        <f t="shared" si="189"/>
        <v>28318.55</v>
      </c>
      <c r="BA156" s="9"/>
      <c r="BB156" s="9"/>
      <c r="BC156" s="9"/>
      <c r="BD156" s="9"/>
      <c r="BE156" s="43"/>
      <c r="BF156" s="43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</row>
    <row r="157" spans="1:93" s="4" customFormat="1" ht="320.25" outlineLevel="1" x14ac:dyDescent="0.25">
      <c r="A157" s="97">
        <f>A156+1</f>
        <v>122</v>
      </c>
      <c r="B157" s="98" t="s">
        <v>211</v>
      </c>
      <c r="C157" s="125" t="s">
        <v>152</v>
      </c>
      <c r="D157" s="99" t="s">
        <v>19</v>
      </c>
      <c r="E157" s="100">
        <f>F157+J157+N157+R157+V157+Z157+AD157+AH157+AL157</f>
        <v>656.40000000000009</v>
      </c>
      <c r="F157" s="101">
        <v>0</v>
      </c>
      <c r="G157" s="101">
        <v>0</v>
      </c>
      <c r="H157" s="101">
        <v>0</v>
      </c>
      <c r="I157" s="101">
        <f>H157*F157</f>
        <v>0</v>
      </c>
      <c r="J157" s="100">
        <v>105.3</v>
      </c>
      <c r="K157" s="101">
        <f t="shared" si="238"/>
        <v>11.864406779661017</v>
      </c>
      <c r="L157" s="101">
        <v>14</v>
      </c>
      <c r="M157" s="101">
        <f>L157*J157</f>
        <v>1474.2</v>
      </c>
      <c r="N157" s="102">
        <v>107.5</v>
      </c>
      <c r="O157" s="101">
        <f>P157/1.18</f>
        <v>4.2372881355932206</v>
      </c>
      <c r="P157" s="101">
        <v>5</v>
      </c>
      <c r="Q157" s="101">
        <f>P157*N157</f>
        <v>537.5</v>
      </c>
      <c r="R157" s="100">
        <v>58.2</v>
      </c>
      <c r="S157" s="101">
        <f>T157/1.18</f>
        <v>14.40677966101695</v>
      </c>
      <c r="T157" s="101">
        <v>17</v>
      </c>
      <c r="U157" s="101">
        <f>T157*R157</f>
        <v>989.40000000000009</v>
      </c>
      <c r="V157" s="101">
        <v>30.2</v>
      </c>
      <c r="W157" s="101">
        <f>X157/1.18</f>
        <v>5.9322033898305087</v>
      </c>
      <c r="X157" s="101">
        <v>7</v>
      </c>
      <c r="Y157" s="101">
        <f>X157*V157</f>
        <v>211.4</v>
      </c>
      <c r="Z157" s="100">
        <v>218.5</v>
      </c>
      <c r="AA157" s="101">
        <f t="shared" si="239"/>
        <v>5.5084745762711869</v>
      </c>
      <c r="AB157" s="101">
        <v>6.5</v>
      </c>
      <c r="AC157" s="101">
        <f>AB157*Z157</f>
        <v>1420.25</v>
      </c>
      <c r="AD157" s="101">
        <v>0</v>
      </c>
      <c r="AE157" s="101"/>
      <c r="AF157" s="101"/>
      <c r="AG157" s="101">
        <f>AF157*AD157</f>
        <v>0</v>
      </c>
      <c r="AH157" s="102">
        <v>118.6</v>
      </c>
      <c r="AI157" s="101">
        <f t="shared" si="240"/>
        <v>7.6271186440677967</v>
      </c>
      <c r="AJ157" s="110">
        <v>9</v>
      </c>
      <c r="AK157" s="101">
        <f>AJ157*AH157</f>
        <v>1067.3999999999999</v>
      </c>
      <c r="AL157" s="102">
        <v>18.100000000000001</v>
      </c>
      <c r="AM157" s="101">
        <f>AN157/1.18</f>
        <v>11.864406779661017</v>
      </c>
      <c r="AN157" s="101">
        <v>14</v>
      </c>
      <c r="AO157" s="101">
        <f>AN157*AL157</f>
        <v>253.40000000000003</v>
      </c>
      <c r="AP157" s="101">
        <f t="shared" si="185"/>
        <v>5045.3813559322034</v>
      </c>
      <c r="AQ157" s="101">
        <f>I157+M157+Q157+U157+Y157+AC157+AG157+AK157+AO157</f>
        <v>5953.5499999999993</v>
      </c>
      <c r="AR157" s="102">
        <f>460*2</f>
        <v>920</v>
      </c>
      <c r="AS157" s="101" t="s">
        <v>270</v>
      </c>
      <c r="AT157" s="103">
        <v>0</v>
      </c>
      <c r="AU157" s="103">
        <f t="shared" si="241"/>
        <v>5.0847457627118651</v>
      </c>
      <c r="AV157" s="103">
        <v>6</v>
      </c>
      <c r="AW157" s="103">
        <f>AU157*AR157</f>
        <v>4677.9661016949158</v>
      </c>
      <c r="AX157" s="103">
        <f>AV157*AR157</f>
        <v>5520</v>
      </c>
      <c r="AY157" s="104">
        <f t="shared" si="189"/>
        <v>9723.3474576271183</v>
      </c>
      <c r="AZ157" s="105">
        <f t="shared" si="189"/>
        <v>11473.55</v>
      </c>
      <c r="BA157" s="9"/>
      <c r="BB157" s="9"/>
      <c r="BC157" s="9"/>
      <c r="BD157" s="9"/>
      <c r="BE157" s="43"/>
      <c r="BF157" s="43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</row>
    <row r="158" spans="1:93" s="4" customFormat="1" ht="45.75" outlineLevel="1" x14ac:dyDescent="0.25">
      <c r="A158" s="147" t="s">
        <v>199</v>
      </c>
      <c r="B158" s="148"/>
      <c r="C158" s="148"/>
      <c r="D158" s="106"/>
      <c r="E158" s="100"/>
      <c r="F158" s="106"/>
      <c r="G158" s="101">
        <v>0</v>
      </c>
      <c r="H158" s="101">
        <v>0</v>
      </c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  <c r="AG158" s="106"/>
      <c r="AH158" s="106"/>
      <c r="AI158" s="106"/>
      <c r="AJ158" s="106"/>
      <c r="AK158" s="106"/>
      <c r="AL158" s="106"/>
      <c r="AM158" s="106"/>
      <c r="AN158" s="106"/>
      <c r="AO158" s="106"/>
      <c r="AP158" s="107"/>
      <c r="AQ158" s="107"/>
      <c r="AR158" s="106"/>
      <c r="AS158" s="101"/>
      <c r="AT158" s="106"/>
      <c r="AU158" s="106"/>
      <c r="AV158" s="106"/>
      <c r="AW158" s="106"/>
      <c r="AX158" s="106"/>
      <c r="AY158" s="107"/>
      <c r="AZ158" s="108"/>
      <c r="BA158" s="9"/>
      <c r="BB158" s="9"/>
      <c r="BC158" s="9"/>
      <c r="BD158" s="9"/>
      <c r="BE158" s="43"/>
      <c r="BF158" s="43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</row>
    <row r="159" spans="1:93" s="4" customFormat="1" ht="183" outlineLevel="1" x14ac:dyDescent="0.25">
      <c r="A159" s="97">
        <f>A157+1</f>
        <v>123</v>
      </c>
      <c r="B159" s="98" t="s">
        <v>211</v>
      </c>
      <c r="C159" s="125" t="s">
        <v>157</v>
      </c>
      <c r="D159" s="99" t="s">
        <v>19</v>
      </c>
      <c r="E159" s="100">
        <f>F159+J159+N159+R159+V159+Z159+AD159+AH159+AL159</f>
        <v>2893.7999999999997</v>
      </c>
      <c r="F159" s="101">
        <v>0</v>
      </c>
      <c r="G159" s="101">
        <v>0</v>
      </c>
      <c r="H159" s="101">
        <v>0</v>
      </c>
      <c r="I159" s="101">
        <f t="shared" ref="I159:I162" si="242">H159*F159</f>
        <v>0</v>
      </c>
      <c r="J159" s="100">
        <v>211.9</v>
      </c>
      <c r="K159" s="101">
        <f t="shared" si="238"/>
        <v>11.864406779661017</v>
      </c>
      <c r="L159" s="101">
        <v>14</v>
      </c>
      <c r="M159" s="101">
        <f t="shared" ref="M159:M162" si="243">L159*J159</f>
        <v>2966.6</v>
      </c>
      <c r="N159" s="102">
        <v>238.6</v>
      </c>
      <c r="O159" s="101">
        <f t="shared" ref="O159:O162" si="244">P159/1.18</f>
        <v>4.2372881355932206</v>
      </c>
      <c r="P159" s="101">
        <v>5</v>
      </c>
      <c r="Q159" s="101">
        <f t="shared" ref="Q159:Q162" si="245">P159*N159</f>
        <v>1193</v>
      </c>
      <c r="R159" s="100">
        <v>140.1</v>
      </c>
      <c r="S159" s="101">
        <f t="shared" ref="S159:S162" si="246">T159/1.18</f>
        <v>14.40677966101695</v>
      </c>
      <c r="T159" s="101">
        <v>17</v>
      </c>
      <c r="U159" s="101">
        <f t="shared" ref="U159:U162" si="247">T159*R159</f>
        <v>2381.6999999999998</v>
      </c>
      <c r="V159" s="101">
        <v>196.5</v>
      </c>
      <c r="W159" s="101">
        <f>X159/1.18</f>
        <v>5.9322033898305087</v>
      </c>
      <c r="X159" s="101">
        <v>7</v>
      </c>
      <c r="Y159" s="101">
        <f t="shared" ref="Y159:Y162" si="248">X159*V159</f>
        <v>1375.5</v>
      </c>
      <c r="Z159" s="100">
        <v>1066.5</v>
      </c>
      <c r="AA159" s="101">
        <f t="shared" si="239"/>
        <v>5.5084745762711869</v>
      </c>
      <c r="AB159" s="101">
        <v>6.5</v>
      </c>
      <c r="AC159" s="101">
        <f t="shared" ref="AC159:AC162" si="249">AB159*Z159</f>
        <v>6932.25</v>
      </c>
      <c r="AD159" s="101">
        <v>0</v>
      </c>
      <c r="AE159" s="101"/>
      <c r="AF159" s="101"/>
      <c r="AG159" s="101">
        <f t="shared" ref="AG159:AG162" si="250">AF159*AD159</f>
        <v>0</v>
      </c>
      <c r="AH159" s="102">
        <v>967.6</v>
      </c>
      <c r="AI159" s="101">
        <f t="shared" si="240"/>
        <v>7.6271186440677967</v>
      </c>
      <c r="AJ159" s="110">
        <v>9</v>
      </c>
      <c r="AK159" s="101">
        <f t="shared" ref="AK159:AK162" si="251">AJ159*AH159</f>
        <v>8708.4</v>
      </c>
      <c r="AL159" s="102">
        <v>72.599999999999994</v>
      </c>
      <c r="AM159" s="101">
        <f t="shared" ref="AM159:AM162" si="252">AN159/1.18</f>
        <v>11.864406779661017</v>
      </c>
      <c r="AN159" s="101">
        <v>14</v>
      </c>
      <c r="AO159" s="101">
        <f t="shared" ref="AO159:AO162" si="253">AN159*AL159</f>
        <v>1016.3999999999999</v>
      </c>
      <c r="AP159" s="101">
        <f t="shared" si="185"/>
        <v>20825.296610169491</v>
      </c>
      <c r="AQ159" s="101">
        <f>I159+M159+Q159+U159+Y159+AC159+AG159+AK159+AO159</f>
        <v>24573.85</v>
      </c>
      <c r="AR159" s="102">
        <f>300*5</f>
        <v>1500</v>
      </c>
      <c r="AS159" s="101" t="s">
        <v>270</v>
      </c>
      <c r="AT159" s="103">
        <v>0</v>
      </c>
      <c r="AU159" s="103">
        <f t="shared" si="241"/>
        <v>5.0847457627118651</v>
      </c>
      <c r="AV159" s="103">
        <v>6</v>
      </c>
      <c r="AW159" s="103">
        <f t="shared" ref="AW159:AW162" si="254">AU159*AR159</f>
        <v>7627.1186440677975</v>
      </c>
      <c r="AX159" s="103">
        <f t="shared" ref="AX159:AX162" si="255">AV159*AR159</f>
        <v>9000</v>
      </c>
      <c r="AY159" s="104">
        <f t="shared" si="189"/>
        <v>28452.41525423729</v>
      </c>
      <c r="AZ159" s="105">
        <f t="shared" si="189"/>
        <v>33573.85</v>
      </c>
      <c r="BA159" s="9"/>
      <c r="BB159" s="9"/>
      <c r="BC159" s="9"/>
      <c r="BD159" s="9"/>
      <c r="BE159" s="43"/>
      <c r="BF159" s="43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</row>
    <row r="160" spans="1:93" s="4" customFormat="1" ht="183" outlineLevel="1" x14ac:dyDescent="0.25">
      <c r="A160" s="97">
        <v>124</v>
      </c>
      <c r="B160" s="98" t="s">
        <v>211</v>
      </c>
      <c r="C160" s="125" t="s">
        <v>158</v>
      </c>
      <c r="D160" s="99" t="s">
        <v>19</v>
      </c>
      <c r="E160" s="100">
        <f>F160+J160+N160+R160+V160+Z160+AD160+AH160+AL160</f>
        <v>255.70000000000002</v>
      </c>
      <c r="F160" s="101">
        <v>0</v>
      </c>
      <c r="G160" s="101">
        <v>0</v>
      </c>
      <c r="H160" s="101">
        <v>0</v>
      </c>
      <c r="I160" s="101">
        <f t="shared" si="242"/>
        <v>0</v>
      </c>
      <c r="J160" s="100">
        <v>0</v>
      </c>
      <c r="K160" s="101">
        <f t="shared" si="238"/>
        <v>11.864406779661017</v>
      </c>
      <c r="L160" s="101">
        <v>14</v>
      </c>
      <c r="M160" s="101">
        <f t="shared" si="243"/>
        <v>0</v>
      </c>
      <c r="N160" s="102">
        <v>66.2</v>
      </c>
      <c r="O160" s="101">
        <f t="shared" si="244"/>
        <v>4.2372881355932206</v>
      </c>
      <c r="P160" s="101">
        <v>5</v>
      </c>
      <c r="Q160" s="101">
        <f t="shared" si="245"/>
        <v>331</v>
      </c>
      <c r="R160" s="100">
        <v>0</v>
      </c>
      <c r="S160" s="101">
        <f t="shared" si="246"/>
        <v>14.40677966101695</v>
      </c>
      <c r="T160" s="101">
        <v>17</v>
      </c>
      <c r="U160" s="101">
        <f t="shared" si="247"/>
        <v>0</v>
      </c>
      <c r="V160" s="101">
        <v>14.7</v>
      </c>
      <c r="W160" s="101">
        <f>X160/1.18</f>
        <v>5.9322033898305087</v>
      </c>
      <c r="X160" s="101">
        <v>7</v>
      </c>
      <c r="Y160" s="101">
        <f t="shared" si="248"/>
        <v>102.89999999999999</v>
      </c>
      <c r="Z160" s="100">
        <v>119.2</v>
      </c>
      <c r="AA160" s="101">
        <f t="shared" si="239"/>
        <v>5.5084745762711869</v>
      </c>
      <c r="AB160" s="101">
        <v>6.5</v>
      </c>
      <c r="AC160" s="101">
        <f t="shared" si="249"/>
        <v>774.80000000000007</v>
      </c>
      <c r="AD160" s="101">
        <v>0</v>
      </c>
      <c r="AE160" s="101"/>
      <c r="AF160" s="101"/>
      <c r="AG160" s="101">
        <f t="shared" si="250"/>
        <v>0</v>
      </c>
      <c r="AH160" s="102">
        <v>51.6</v>
      </c>
      <c r="AI160" s="101">
        <f t="shared" si="240"/>
        <v>7.6271186440677967</v>
      </c>
      <c r="AJ160" s="110">
        <v>9</v>
      </c>
      <c r="AK160" s="101">
        <f t="shared" si="251"/>
        <v>464.40000000000003</v>
      </c>
      <c r="AL160" s="102">
        <v>4</v>
      </c>
      <c r="AM160" s="101">
        <f t="shared" si="252"/>
        <v>11.864406779661017</v>
      </c>
      <c r="AN160" s="101">
        <v>14</v>
      </c>
      <c r="AO160" s="101">
        <f t="shared" si="253"/>
        <v>56</v>
      </c>
      <c r="AP160" s="101">
        <f t="shared" si="185"/>
        <v>1465.3389830508477</v>
      </c>
      <c r="AQ160" s="101">
        <f>I160+M160+Q160+U160+Y160+AC160+AG160+AK160+AO160</f>
        <v>1729.1000000000001</v>
      </c>
      <c r="AR160" s="102">
        <v>0</v>
      </c>
      <c r="AS160" s="101" t="s">
        <v>270</v>
      </c>
      <c r="AT160" s="103">
        <v>0</v>
      </c>
      <c r="AU160" s="103">
        <f t="shared" si="241"/>
        <v>5.0847457627118651</v>
      </c>
      <c r="AV160" s="103">
        <v>6</v>
      </c>
      <c r="AW160" s="103">
        <f t="shared" si="254"/>
        <v>0</v>
      </c>
      <c r="AX160" s="103">
        <f t="shared" si="255"/>
        <v>0</v>
      </c>
      <c r="AY160" s="104">
        <f t="shared" si="189"/>
        <v>1465.3389830508477</v>
      </c>
      <c r="AZ160" s="105">
        <f t="shared" si="189"/>
        <v>1729.1000000000001</v>
      </c>
      <c r="BA160" s="9"/>
      <c r="BB160" s="9"/>
      <c r="BC160" s="9"/>
      <c r="BD160" s="9"/>
      <c r="BE160" s="43"/>
      <c r="BF160" s="43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</row>
    <row r="161" spans="1:93" s="4" customFormat="1" ht="183" outlineLevel="1" x14ac:dyDescent="0.25">
      <c r="A161" s="97">
        <f t="shared" ref="A161:A162" si="256">A160+1</f>
        <v>125</v>
      </c>
      <c r="B161" s="98" t="s">
        <v>211</v>
      </c>
      <c r="C161" s="125" t="s">
        <v>159</v>
      </c>
      <c r="D161" s="99" t="s">
        <v>19</v>
      </c>
      <c r="E161" s="100">
        <f>F161+J161+N161+R161+V161+Z161+AD161+AH161+AL161</f>
        <v>346.6</v>
      </c>
      <c r="F161" s="101">
        <v>0</v>
      </c>
      <c r="G161" s="101">
        <v>0</v>
      </c>
      <c r="H161" s="101">
        <v>0</v>
      </c>
      <c r="I161" s="101">
        <f t="shared" si="242"/>
        <v>0</v>
      </c>
      <c r="J161" s="100">
        <v>0</v>
      </c>
      <c r="K161" s="101">
        <f t="shared" si="238"/>
        <v>11.864406779661017</v>
      </c>
      <c r="L161" s="101">
        <v>14</v>
      </c>
      <c r="M161" s="101">
        <f t="shared" si="243"/>
        <v>0</v>
      </c>
      <c r="N161" s="102">
        <v>173</v>
      </c>
      <c r="O161" s="101">
        <f t="shared" si="244"/>
        <v>4.2372881355932206</v>
      </c>
      <c r="P161" s="101">
        <v>5</v>
      </c>
      <c r="Q161" s="101">
        <f t="shared" si="245"/>
        <v>865</v>
      </c>
      <c r="R161" s="100">
        <v>0</v>
      </c>
      <c r="S161" s="101">
        <f t="shared" si="246"/>
        <v>14.40677966101695</v>
      </c>
      <c r="T161" s="101">
        <v>17</v>
      </c>
      <c r="U161" s="101">
        <f t="shared" si="247"/>
        <v>0</v>
      </c>
      <c r="V161" s="101">
        <v>0</v>
      </c>
      <c r="W161" s="101">
        <v>4.2</v>
      </c>
      <c r="X161" s="101">
        <v>7</v>
      </c>
      <c r="Y161" s="101">
        <f t="shared" si="248"/>
        <v>0</v>
      </c>
      <c r="Z161" s="100">
        <v>32</v>
      </c>
      <c r="AA161" s="101">
        <f t="shared" si="239"/>
        <v>5.5084745762711869</v>
      </c>
      <c r="AB161" s="101">
        <v>6.5</v>
      </c>
      <c r="AC161" s="101">
        <f t="shared" si="249"/>
        <v>208</v>
      </c>
      <c r="AD161" s="101">
        <v>0</v>
      </c>
      <c r="AE161" s="101"/>
      <c r="AF161" s="101"/>
      <c r="AG161" s="101">
        <f t="shared" si="250"/>
        <v>0</v>
      </c>
      <c r="AH161" s="102">
        <v>129.1</v>
      </c>
      <c r="AI161" s="101">
        <f t="shared" si="240"/>
        <v>7.6271186440677967</v>
      </c>
      <c r="AJ161" s="110">
        <v>9</v>
      </c>
      <c r="AK161" s="101">
        <f t="shared" si="251"/>
        <v>1161.8999999999999</v>
      </c>
      <c r="AL161" s="102">
        <v>12.5</v>
      </c>
      <c r="AM161" s="101">
        <f t="shared" si="252"/>
        <v>11.864406779661017</v>
      </c>
      <c r="AN161" s="101">
        <v>14</v>
      </c>
      <c r="AO161" s="101">
        <f t="shared" si="253"/>
        <v>175</v>
      </c>
      <c r="AP161" s="101">
        <f t="shared" si="185"/>
        <v>2042.2881355932202</v>
      </c>
      <c r="AQ161" s="101">
        <f>I161+M161+Q161+U161+Y161+AC161+AG161+AK161+AO161</f>
        <v>2409.8999999999996</v>
      </c>
      <c r="AR161" s="102">
        <v>250</v>
      </c>
      <c r="AS161" s="101" t="s">
        <v>270</v>
      </c>
      <c r="AT161" s="103">
        <v>0</v>
      </c>
      <c r="AU161" s="103">
        <f t="shared" si="241"/>
        <v>5.0847457627118651</v>
      </c>
      <c r="AV161" s="103">
        <v>6</v>
      </c>
      <c r="AW161" s="103">
        <f t="shared" si="254"/>
        <v>1271.1864406779662</v>
      </c>
      <c r="AX161" s="103">
        <f t="shared" si="255"/>
        <v>1500</v>
      </c>
      <c r="AY161" s="104">
        <f t="shared" si="189"/>
        <v>3313.4745762711864</v>
      </c>
      <c r="AZ161" s="105">
        <f t="shared" si="189"/>
        <v>3909.8999999999996</v>
      </c>
      <c r="BA161" s="9"/>
      <c r="BB161" s="9"/>
      <c r="BC161" s="9"/>
      <c r="BD161" s="9"/>
      <c r="BE161" s="43"/>
      <c r="BF161" s="43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</row>
    <row r="162" spans="1:93" s="4" customFormat="1" ht="228.75" outlineLevel="1" x14ac:dyDescent="0.25">
      <c r="A162" s="97">
        <f t="shared" si="256"/>
        <v>126</v>
      </c>
      <c r="B162" s="98" t="s">
        <v>211</v>
      </c>
      <c r="C162" s="125" t="s">
        <v>160</v>
      </c>
      <c r="D162" s="99" t="s">
        <v>19</v>
      </c>
      <c r="E162" s="100">
        <f>F162+J162+N162+R162+V162+Z162+AD162+AH162+AL162</f>
        <v>157.79999999999998</v>
      </c>
      <c r="F162" s="101">
        <v>0</v>
      </c>
      <c r="G162" s="101">
        <v>0</v>
      </c>
      <c r="H162" s="101">
        <v>0</v>
      </c>
      <c r="I162" s="101">
        <f t="shared" si="242"/>
        <v>0</v>
      </c>
      <c r="J162" s="100">
        <v>0</v>
      </c>
      <c r="K162" s="101">
        <f t="shared" si="238"/>
        <v>11.864406779661017</v>
      </c>
      <c r="L162" s="101">
        <v>14</v>
      </c>
      <c r="M162" s="101">
        <f t="shared" si="243"/>
        <v>0</v>
      </c>
      <c r="N162" s="102">
        <v>38.4</v>
      </c>
      <c r="O162" s="101">
        <f t="shared" si="244"/>
        <v>4.2372881355932206</v>
      </c>
      <c r="P162" s="101">
        <v>5</v>
      </c>
      <c r="Q162" s="101">
        <f t="shared" si="245"/>
        <v>192</v>
      </c>
      <c r="R162" s="100">
        <v>0</v>
      </c>
      <c r="S162" s="101">
        <f t="shared" si="246"/>
        <v>14.40677966101695</v>
      </c>
      <c r="T162" s="101">
        <v>17</v>
      </c>
      <c r="U162" s="101">
        <f t="shared" si="247"/>
        <v>0</v>
      </c>
      <c r="V162" s="101">
        <v>0</v>
      </c>
      <c r="W162" s="101">
        <f>X162/1.18</f>
        <v>5.9322033898305087</v>
      </c>
      <c r="X162" s="101">
        <v>7</v>
      </c>
      <c r="Y162" s="101">
        <f t="shared" si="248"/>
        <v>0</v>
      </c>
      <c r="Z162" s="100">
        <f>5.6+11.8+91.1+7.8</f>
        <v>116.3</v>
      </c>
      <c r="AA162" s="101">
        <f t="shared" si="239"/>
        <v>5.5084745762711869</v>
      </c>
      <c r="AB162" s="101">
        <v>6.5</v>
      </c>
      <c r="AC162" s="101">
        <f t="shared" si="249"/>
        <v>755.94999999999993</v>
      </c>
      <c r="AD162" s="101">
        <v>0</v>
      </c>
      <c r="AE162" s="101"/>
      <c r="AF162" s="101"/>
      <c r="AG162" s="101">
        <f t="shared" si="250"/>
        <v>0</v>
      </c>
      <c r="AH162" s="102">
        <v>0</v>
      </c>
      <c r="AI162" s="101">
        <f t="shared" si="240"/>
        <v>7.6271186440677967</v>
      </c>
      <c r="AJ162" s="110">
        <v>9</v>
      </c>
      <c r="AK162" s="101">
        <f t="shared" si="251"/>
        <v>0</v>
      </c>
      <c r="AL162" s="102">
        <v>3.1</v>
      </c>
      <c r="AM162" s="101">
        <f t="shared" si="252"/>
        <v>11.864406779661017</v>
      </c>
      <c r="AN162" s="101">
        <v>14</v>
      </c>
      <c r="AO162" s="101">
        <f t="shared" si="253"/>
        <v>43.4</v>
      </c>
      <c r="AP162" s="101">
        <f t="shared" si="185"/>
        <v>840.12711864406776</v>
      </c>
      <c r="AQ162" s="101">
        <f>I162+M162+Q162+U162+Y162+AC162+AG162+AK162+AO162</f>
        <v>991.34999999999991</v>
      </c>
      <c r="AR162" s="102">
        <v>510</v>
      </c>
      <c r="AS162" s="101" t="s">
        <v>270</v>
      </c>
      <c r="AT162" s="103">
        <v>0</v>
      </c>
      <c r="AU162" s="103">
        <f t="shared" si="241"/>
        <v>5.0847457627118651</v>
      </c>
      <c r="AV162" s="103">
        <v>6</v>
      </c>
      <c r="AW162" s="103">
        <f t="shared" si="254"/>
        <v>2593.2203389830511</v>
      </c>
      <c r="AX162" s="103">
        <f t="shared" si="255"/>
        <v>3060</v>
      </c>
      <c r="AY162" s="104">
        <f t="shared" si="189"/>
        <v>3433.3474576271187</v>
      </c>
      <c r="AZ162" s="105">
        <f t="shared" si="189"/>
        <v>4051.35</v>
      </c>
      <c r="BA162" s="9"/>
      <c r="BB162" s="9"/>
      <c r="BC162" s="9"/>
      <c r="BD162" s="9"/>
      <c r="BE162" s="43"/>
      <c r="BF162" s="43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</row>
    <row r="163" spans="1:93" s="5" customFormat="1" ht="45.75" outlineLevel="1" x14ac:dyDescent="0.25">
      <c r="A163" s="147" t="s">
        <v>201</v>
      </c>
      <c r="B163" s="148"/>
      <c r="C163" s="148"/>
      <c r="D163" s="106"/>
      <c r="E163" s="100"/>
      <c r="F163" s="106"/>
      <c r="G163" s="101">
        <v>0</v>
      </c>
      <c r="H163" s="101">
        <v>0</v>
      </c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1"/>
      <c r="AC163" s="106"/>
      <c r="AD163" s="106"/>
      <c r="AE163" s="106"/>
      <c r="AF163" s="106"/>
      <c r="AG163" s="106"/>
      <c r="AH163" s="106"/>
      <c r="AI163" s="106"/>
      <c r="AJ163" s="106"/>
      <c r="AK163" s="106"/>
      <c r="AL163" s="106"/>
      <c r="AM163" s="106"/>
      <c r="AN163" s="106"/>
      <c r="AO163" s="106"/>
      <c r="AP163" s="107"/>
      <c r="AQ163" s="107"/>
      <c r="AR163" s="106"/>
      <c r="AS163" s="101"/>
      <c r="AT163" s="106"/>
      <c r="AU163" s="106"/>
      <c r="AV163" s="106"/>
      <c r="AW163" s="106"/>
      <c r="AX163" s="106"/>
      <c r="AY163" s="104"/>
      <c r="AZ163" s="105"/>
      <c r="BA163" s="9"/>
      <c r="BB163" s="9"/>
      <c r="BC163" s="9"/>
      <c r="BD163" s="9"/>
      <c r="BE163" s="9"/>
      <c r="BF163" s="9"/>
    </row>
    <row r="164" spans="1:93" s="4" customFormat="1" ht="274.5" outlineLevel="1" x14ac:dyDescent="0.25">
      <c r="A164" s="97">
        <v>127</v>
      </c>
      <c r="B164" s="98" t="s">
        <v>211</v>
      </c>
      <c r="C164" s="125" t="s">
        <v>163</v>
      </c>
      <c r="D164" s="99" t="s">
        <v>19</v>
      </c>
      <c r="E164" s="100">
        <f>F164+J164+N164+R164+V164+Z164+AD164+AH164+AL164</f>
        <v>541.1</v>
      </c>
      <c r="F164" s="101">
        <v>0</v>
      </c>
      <c r="G164" s="101">
        <v>0</v>
      </c>
      <c r="H164" s="101">
        <v>0</v>
      </c>
      <c r="I164" s="101">
        <f>H164*F164</f>
        <v>0</v>
      </c>
      <c r="J164" s="100">
        <v>200.8</v>
      </c>
      <c r="K164" s="101">
        <f t="shared" si="238"/>
        <v>11.864406779661017</v>
      </c>
      <c r="L164" s="101">
        <v>14</v>
      </c>
      <c r="M164" s="101">
        <f>L164*J164</f>
        <v>2811.2000000000003</v>
      </c>
      <c r="N164" s="102">
        <v>43.8</v>
      </c>
      <c r="O164" s="101">
        <f>P164/1.18</f>
        <v>4.2372881355932206</v>
      </c>
      <c r="P164" s="101">
        <v>5</v>
      </c>
      <c r="Q164" s="101">
        <f>P164*N164</f>
        <v>219</v>
      </c>
      <c r="R164" s="100">
        <v>56.9</v>
      </c>
      <c r="S164" s="101">
        <f>T164/1.18</f>
        <v>14.40677966101695</v>
      </c>
      <c r="T164" s="101">
        <v>17</v>
      </c>
      <c r="U164" s="101">
        <f>T164*R164</f>
        <v>967.3</v>
      </c>
      <c r="V164" s="101">
        <v>10</v>
      </c>
      <c r="W164" s="101">
        <f t="shared" ref="W164" si="257">X164/1.18</f>
        <v>5.9322033898305087</v>
      </c>
      <c r="X164" s="101">
        <v>7</v>
      </c>
      <c r="Y164" s="101">
        <f>X164*V164</f>
        <v>70</v>
      </c>
      <c r="Z164" s="100">
        <v>30.1</v>
      </c>
      <c r="AA164" s="101">
        <f t="shared" si="239"/>
        <v>5.5084745762711869</v>
      </c>
      <c r="AB164" s="101">
        <v>6.5</v>
      </c>
      <c r="AC164" s="101">
        <f>AB164*Z164</f>
        <v>195.65</v>
      </c>
      <c r="AD164" s="101">
        <v>0</v>
      </c>
      <c r="AE164" s="101"/>
      <c r="AF164" s="101"/>
      <c r="AG164" s="101">
        <f>AF164*AD164</f>
        <v>0</v>
      </c>
      <c r="AH164" s="102">
        <v>197</v>
      </c>
      <c r="AI164" s="101">
        <f t="shared" si="240"/>
        <v>7.6271186440677967</v>
      </c>
      <c r="AJ164" s="110">
        <v>9</v>
      </c>
      <c r="AK164" s="101">
        <f>AJ164*AH164</f>
        <v>1773</v>
      </c>
      <c r="AL164" s="102">
        <v>2.5</v>
      </c>
      <c r="AM164" s="101">
        <f>AN164/1.18</f>
        <v>11.864406779661017</v>
      </c>
      <c r="AN164" s="101">
        <v>14</v>
      </c>
      <c r="AO164" s="101">
        <f>AN164*AL164</f>
        <v>35</v>
      </c>
      <c r="AP164" s="101">
        <f t="shared" si="185"/>
        <v>5145.0423728813557</v>
      </c>
      <c r="AQ164" s="101">
        <f>I164+M164+Q164+U164+Y164+AC164+AG164+AK164+AO164</f>
        <v>6071.15</v>
      </c>
      <c r="AR164" s="102">
        <v>100</v>
      </c>
      <c r="AS164" s="101" t="s">
        <v>270</v>
      </c>
      <c r="AT164" s="103">
        <v>0</v>
      </c>
      <c r="AU164" s="103">
        <f t="shared" si="241"/>
        <v>5.0847457627118651</v>
      </c>
      <c r="AV164" s="103">
        <v>6</v>
      </c>
      <c r="AW164" s="103">
        <f>AU164*AR164</f>
        <v>508.47457627118649</v>
      </c>
      <c r="AX164" s="103">
        <f>AV164*AR164</f>
        <v>600</v>
      </c>
      <c r="AY164" s="104">
        <f t="shared" si="189"/>
        <v>5653.5169491525421</v>
      </c>
      <c r="AZ164" s="105">
        <f t="shared" si="189"/>
        <v>6671.15</v>
      </c>
      <c r="BA164" s="9"/>
      <c r="BB164" s="9"/>
      <c r="BC164" s="9"/>
      <c r="BD164" s="9"/>
      <c r="BE164" s="43"/>
      <c r="BF164" s="43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</row>
    <row r="165" spans="1:93" s="4" customFormat="1" ht="320.25" outlineLevel="1" x14ac:dyDescent="0.25">
      <c r="A165" s="97">
        <f>A164+1</f>
        <v>128</v>
      </c>
      <c r="B165" s="98" t="s">
        <v>211</v>
      </c>
      <c r="C165" s="125" t="s">
        <v>164</v>
      </c>
      <c r="D165" s="99" t="s">
        <v>19</v>
      </c>
      <c r="E165" s="100">
        <f>F165+J165+N165+R165+V165+Z165+AD165+AH165+AL165</f>
        <v>833.59999999999991</v>
      </c>
      <c r="F165" s="101">
        <v>0</v>
      </c>
      <c r="G165" s="101">
        <v>0</v>
      </c>
      <c r="H165" s="101">
        <v>0</v>
      </c>
      <c r="I165" s="101">
        <f>H165*F165</f>
        <v>0</v>
      </c>
      <c r="J165" s="100">
        <v>384.7</v>
      </c>
      <c r="K165" s="101">
        <f t="shared" si="238"/>
        <v>11.864406779661017</v>
      </c>
      <c r="L165" s="101">
        <v>14</v>
      </c>
      <c r="M165" s="101">
        <f>L165*J165</f>
        <v>5385.8</v>
      </c>
      <c r="N165" s="102">
        <v>89.2</v>
      </c>
      <c r="O165" s="101">
        <f>P165/1.18</f>
        <v>4.2372881355932206</v>
      </c>
      <c r="P165" s="101">
        <v>5</v>
      </c>
      <c r="Q165" s="101">
        <f>P165*N165</f>
        <v>446</v>
      </c>
      <c r="R165" s="100">
        <v>175</v>
      </c>
      <c r="S165" s="101">
        <f>T165/1.18</f>
        <v>14.40677966101695</v>
      </c>
      <c r="T165" s="101">
        <v>17</v>
      </c>
      <c r="U165" s="101">
        <f>T165*R165</f>
        <v>2975</v>
      </c>
      <c r="V165" s="101">
        <v>0</v>
      </c>
      <c r="W165" s="101">
        <f>X165/1.18</f>
        <v>5.9322033898305087</v>
      </c>
      <c r="X165" s="101">
        <v>7</v>
      </c>
      <c r="Y165" s="101">
        <f>X165*V165</f>
        <v>0</v>
      </c>
      <c r="Z165" s="100">
        <v>29.9</v>
      </c>
      <c r="AA165" s="101">
        <f t="shared" si="239"/>
        <v>5.5084745762711869</v>
      </c>
      <c r="AB165" s="101">
        <v>6.5</v>
      </c>
      <c r="AC165" s="101">
        <f>AB165*Z165</f>
        <v>194.35</v>
      </c>
      <c r="AD165" s="101">
        <v>0</v>
      </c>
      <c r="AE165" s="101"/>
      <c r="AF165" s="101"/>
      <c r="AG165" s="101">
        <f>AF165*AD165</f>
        <v>0</v>
      </c>
      <c r="AH165" s="102">
        <v>139.4</v>
      </c>
      <c r="AI165" s="101">
        <f t="shared" si="240"/>
        <v>7.6271186440677967</v>
      </c>
      <c r="AJ165" s="110">
        <v>9</v>
      </c>
      <c r="AK165" s="101">
        <f>AJ165*AH165</f>
        <v>1254.6000000000001</v>
      </c>
      <c r="AL165" s="102">
        <v>15.4</v>
      </c>
      <c r="AM165" s="101">
        <f>AN165/1.18</f>
        <v>11.864406779661017</v>
      </c>
      <c r="AN165" s="101">
        <v>14</v>
      </c>
      <c r="AO165" s="101">
        <f>AN165*AL165</f>
        <v>215.6</v>
      </c>
      <c r="AP165" s="101">
        <f t="shared" si="185"/>
        <v>8874.0254237288136</v>
      </c>
      <c r="AQ165" s="101">
        <f>I165+M165+Q165+U165+Y165+AC165+AG165+AK165+AO165</f>
        <v>10471.35</v>
      </c>
      <c r="AR165" s="102">
        <v>450</v>
      </c>
      <c r="AS165" s="101" t="s">
        <v>270</v>
      </c>
      <c r="AT165" s="103">
        <v>0</v>
      </c>
      <c r="AU165" s="103">
        <f t="shared" si="241"/>
        <v>5.0847457627118651</v>
      </c>
      <c r="AV165" s="103">
        <v>6</v>
      </c>
      <c r="AW165" s="103">
        <f>AU165*AR165</f>
        <v>2288.1355932203392</v>
      </c>
      <c r="AX165" s="103">
        <f>AV165*AR165</f>
        <v>2700</v>
      </c>
      <c r="AY165" s="104">
        <f t="shared" si="189"/>
        <v>11162.161016949152</v>
      </c>
      <c r="AZ165" s="105">
        <f t="shared" si="189"/>
        <v>13171.35</v>
      </c>
      <c r="BA165" s="9"/>
      <c r="BB165" s="9"/>
      <c r="BC165" s="9"/>
      <c r="BD165" s="9"/>
      <c r="BE165" s="43"/>
      <c r="BF165" s="43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</row>
    <row r="166" spans="1:93" s="4" customFormat="1" ht="274.5" outlineLevel="1" x14ac:dyDescent="0.25">
      <c r="A166" s="97">
        <f>A165+1</f>
        <v>129</v>
      </c>
      <c r="B166" s="98" t="s">
        <v>211</v>
      </c>
      <c r="C166" s="125" t="s">
        <v>165</v>
      </c>
      <c r="D166" s="99" t="s">
        <v>19</v>
      </c>
      <c r="E166" s="100">
        <f>F166+J166+N166+R166+V166+Z166+AD166+AH166+AL166</f>
        <v>967.69999999999993</v>
      </c>
      <c r="F166" s="101">
        <v>0</v>
      </c>
      <c r="G166" s="101">
        <v>0</v>
      </c>
      <c r="H166" s="101">
        <v>0</v>
      </c>
      <c r="I166" s="101">
        <f>H166*F166</f>
        <v>0</v>
      </c>
      <c r="J166" s="100">
        <v>91.1</v>
      </c>
      <c r="K166" s="101">
        <f t="shared" si="238"/>
        <v>11.864406779661017</v>
      </c>
      <c r="L166" s="101">
        <v>14</v>
      </c>
      <c r="M166" s="101">
        <f>L166*J166</f>
        <v>1275.3999999999999</v>
      </c>
      <c r="N166" s="102">
        <v>42</v>
      </c>
      <c r="O166" s="101">
        <f>P166/1.18</f>
        <v>4.2372881355932206</v>
      </c>
      <c r="P166" s="101">
        <v>5</v>
      </c>
      <c r="Q166" s="101">
        <f>P166*N166</f>
        <v>210</v>
      </c>
      <c r="R166" s="100">
        <v>46.1</v>
      </c>
      <c r="S166" s="101">
        <f>T166/1.18</f>
        <v>14.40677966101695</v>
      </c>
      <c r="T166" s="101">
        <v>17</v>
      </c>
      <c r="U166" s="101">
        <f>T166*R166</f>
        <v>783.7</v>
      </c>
      <c r="V166" s="101">
        <v>59.6</v>
      </c>
      <c r="W166" s="101">
        <f>X166/1.18</f>
        <v>5.9322033898305087</v>
      </c>
      <c r="X166" s="101">
        <v>7</v>
      </c>
      <c r="Y166" s="101">
        <f>X166*V166</f>
        <v>417.2</v>
      </c>
      <c r="Z166" s="100">
        <v>526.1</v>
      </c>
      <c r="AA166" s="101">
        <f t="shared" si="239"/>
        <v>5.5084745762711869</v>
      </c>
      <c r="AB166" s="101">
        <v>6.5</v>
      </c>
      <c r="AC166" s="101">
        <f>AB166*Z166</f>
        <v>3419.65</v>
      </c>
      <c r="AD166" s="101">
        <v>0</v>
      </c>
      <c r="AE166" s="101"/>
      <c r="AF166" s="101"/>
      <c r="AG166" s="101">
        <f>AF166*AD166</f>
        <v>0</v>
      </c>
      <c r="AH166" s="102">
        <v>183.7</v>
      </c>
      <c r="AI166" s="101">
        <f t="shared" si="240"/>
        <v>7.6271186440677967</v>
      </c>
      <c r="AJ166" s="110">
        <v>9</v>
      </c>
      <c r="AK166" s="101">
        <f>AJ166*AH166</f>
        <v>1653.3</v>
      </c>
      <c r="AL166" s="102">
        <v>19.100000000000001</v>
      </c>
      <c r="AM166" s="101">
        <f>AN166/1.18</f>
        <v>11.864406779661017</v>
      </c>
      <c r="AN166" s="101">
        <v>14</v>
      </c>
      <c r="AO166" s="101">
        <f>AN166*AL166</f>
        <v>267.40000000000003</v>
      </c>
      <c r="AP166" s="101">
        <f t="shared" si="185"/>
        <v>6802.2457627118647</v>
      </c>
      <c r="AQ166" s="101">
        <f>I166+M166+Q166+U166+Y166+AC166+AG166+AK166+AO166</f>
        <v>8026.65</v>
      </c>
      <c r="AR166" s="102">
        <v>200</v>
      </c>
      <c r="AS166" s="101" t="s">
        <v>270</v>
      </c>
      <c r="AT166" s="103">
        <v>0</v>
      </c>
      <c r="AU166" s="103">
        <f t="shared" si="241"/>
        <v>5.0847457627118651</v>
      </c>
      <c r="AV166" s="103">
        <v>6</v>
      </c>
      <c r="AW166" s="103">
        <f>AU166*AR166</f>
        <v>1016.949152542373</v>
      </c>
      <c r="AX166" s="103">
        <f>AV166*AR166</f>
        <v>1200</v>
      </c>
      <c r="AY166" s="104">
        <f t="shared" si="189"/>
        <v>7819.1949152542375</v>
      </c>
      <c r="AZ166" s="105">
        <f t="shared" si="189"/>
        <v>9226.65</v>
      </c>
      <c r="BA166" s="9"/>
      <c r="BB166" s="9"/>
      <c r="BC166" s="9"/>
      <c r="BD166" s="9"/>
      <c r="BE166" s="43"/>
      <c r="BF166" s="43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</row>
    <row r="167" spans="1:93" s="4" customFormat="1" ht="45.75" outlineLevel="1" x14ac:dyDescent="0.25">
      <c r="A167" s="147" t="s">
        <v>196</v>
      </c>
      <c r="B167" s="148"/>
      <c r="C167" s="148"/>
      <c r="D167" s="106"/>
      <c r="E167" s="100"/>
      <c r="F167" s="106"/>
      <c r="G167" s="101">
        <v>0</v>
      </c>
      <c r="H167" s="101">
        <v>0</v>
      </c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  <c r="AG167" s="106"/>
      <c r="AH167" s="106"/>
      <c r="AI167" s="106"/>
      <c r="AJ167" s="106"/>
      <c r="AK167" s="106"/>
      <c r="AL167" s="106"/>
      <c r="AM167" s="106"/>
      <c r="AN167" s="106"/>
      <c r="AO167" s="106"/>
      <c r="AP167" s="107"/>
      <c r="AQ167" s="117"/>
      <c r="AR167" s="106"/>
      <c r="AS167" s="101"/>
      <c r="AT167" s="106"/>
      <c r="AU167" s="106"/>
      <c r="AV167" s="106"/>
      <c r="AW167" s="106"/>
      <c r="AX167" s="106"/>
      <c r="AY167" s="117"/>
      <c r="AZ167" s="108"/>
      <c r="BA167" s="9"/>
      <c r="BB167" s="9"/>
      <c r="BC167" s="9"/>
      <c r="BD167" s="9"/>
      <c r="BE167" s="43"/>
      <c r="BF167" s="43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</row>
    <row r="168" spans="1:93" s="40" customFormat="1" ht="183" outlineLevel="1" x14ac:dyDescent="0.25">
      <c r="A168" s="97">
        <f>A166+1</f>
        <v>130</v>
      </c>
      <c r="B168" s="98" t="s">
        <v>212</v>
      </c>
      <c r="C168" s="125" t="s">
        <v>149</v>
      </c>
      <c r="D168" s="99" t="s">
        <v>19</v>
      </c>
      <c r="E168" s="100">
        <f>F168+J168+N168+R168+V168+Z168+AD168+AH168+AL168</f>
        <v>3391</v>
      </c>
      <c r="F168" s="101">
        <v>0</v>
      </c>
      <c r="G168" s="101">
        <v>0</v>
      </c>
      <c r="H168" s="101">
        <v>0</v>
      </c>
      <c r="I168" s="101">
        <f t="shared" si="169"/>
        <v>0</v>
      </c>
      <c r="J168" s="100">
        <v>546</v>
      </c>
      <c r="K168" s="101">
        <f t="shared" si="170"/>
        <v>11.864406779661017</v>
      </c>
      <c r="L168" s="101">
        <v>14</v>
      </c>
      <c r="M168" s="101">
        <f t="shared" si="171"/>
        <v>7644</v>
      </c>
      <c r="N168" s="102">
        <v>521</v>
      </c>
      <c r="O168" s="101">
        <f t="shared" si="172"/>
        <v>4.2372881355932206</v>
      </c>
      <c r="P168" s="101">
        <v>5</v>
      </c>
      <c r="Q168" s="101">
        <f t="shared" si="173"/>
        <v>2605</v>
      </c>
      <c r="R168" s="100">
        <v>72.5</v>
      </c>
      <c r="S168" s="101">
        <f t="shared" si="174"/>
        <v>14.40677966101695</v>
      </c>
      <c r="T168" s="101">
        <v>17</v>
      </c>
      <c r="U168" s="101">
        <f t="shared" si="175"/>
        <v>1232.5</v>
      </c>
      <c r="V168" s="101">
        <v>228</v>
      </c>
      <c r="W168" s="101">
        <f t="shared" si="237"/>
        <v>5.9322033898305087</v>
      </c>
      <c r="X168" s="101">
        <v>7</v>
      </c>
      <c r="Y168" s="101">
        <f t="shared" si="177"/>
        <v>1596</v>
      </c>
      <c r="Z168" s="100">
        <v>1226</v>
      </c>
      <c r="AA168" s="101">
        <f t="shared" si="178"/>
        <v>5.5084745762711869</v>
      </c>
      <c r="AB168" s="101">
        <v>6.5</v>
      </c>
      <c r="AC168" s="101">
        <f t="shared" si="179"/>
        <v>7969</v>
      </c>
      <c r="AD168" s="101">
        <v>0</v>
      </c>
      <c r="AE168" s="101"/>
      <c r="AF168" s="101"/>
      <c r="AG168" s="101">
        <f t="shared" si="180"/>
        <v>0</v>
      </c>
      <c r="AH168" s="102">
        <v>747.2</v>
      </c>
      <c r="AI168" s="101">
        <f t="shared" si="181"/>
        <v>7.6271186440677967</v>
      </c>
      <c r="AJ168" s="110">
        <v>9</v>
      </c>
      <c r="AK168" s="101">
        <f t="shared" si="182"/>
        <v>6724.8</v>
      </c>
      <c r="AL168" s="102">
        <v>50.3</v>
      </c>
      <c r="AM168" s="101">
        <f t="shared" si="183"/>
        <v>11.864406779661017</v>
      </c>
      <c r="AN168" s="101">
        <v>14</v>
      </c>
      <c r="AO168" s="101">
        <f t="shared" si="184"/>
        <v>704.19999999999993</v>
      </c>
      <c r="AP168" s="101">
        <f t="shared" si="185"/>
        <v>24131.77966101695</v>
      </c>
      <c r="AQ168" s="101">
        <f>I168+M168+Q168+U168+Y168+AC168+AG168+AK168+AO168</f>
        <v>28475.5</v>
      </c>
      <c r="AR168" s="102">
        <v>460</v>
      </c>
      <c r="AS168" s="101" t="s">
        <v>270</v>
      </c>
      <c r="AT168" s="103">
        <v>0</v>
      </c>
      <c r="AU168" s="103">
        <f t="shared" si="187"/>
        <v>5.0847457627118651</v>
      </c>
      <c r="AV168" s="103">
        <v>6</v>
      </c>
      <c r="AW168" s="103">
        <f t="shared" si="188"/>
        <v>2338.9830508474579</v>
      </c>
      <c r="AX168" s="103">
        <f t="shared" si="190"/>
        <v>2760</v>
      </c>
      <c r="AY168" s="104">
        <f t="shared" si="189"/>
        <v>26470.762711864409</v>
      </c>
      <c r="AZ168" s="105">
        <f t="shared" si="189"/>
        <v>31235.5</v>
      </c>
      <c r="BA168" s="43"/>
      <c r="BB168" s="43"/>
      <c r="BC168" s="43"/>
      <c r="BD168" s="43"/>
      <c r="BE168" s="43"/>
      <c r="BF168" s="43"/>
    </row>
    <row r="169" spans="1:93" s="4" customFormat="1" ht="274.5" outlineLevel="1" x14ac:dyDescent="0.25">
      <c r="A169" s="97">
        <f>A168+1</f>
        <v>131</v>
      </c>
      <c r="B169" s="98" t="s">
        <v>212</v>
      </c>
      <c r="C169" s="125" t="s">
        <v>150</v>
      </c>
      <c r="D169" s="99" t="s">
        <v>19</v>
      </c>
      <c r="E169" s="100">
        <f>F169+J169+N169+R169+V169+Z169+AD169+AH169+AL169</f>
        <v>692.9</v>
      </c>
      <c r="F169" s="101">
        <v>0</v>
      </c>
      <c r="G169" s="101">
        <v>0</v>
      </c>
      <c r="H169" s="101">
        <v>0</v>
      </c>
      <c r="I169" s="101">
        <f t="shared" si="169"/>
        <v>0</v>
      </c>
      <c r="J169" s="100">
        <v>68.099999999999994</v>
      </c>
      <c r="K169" s="101">
        <f t="shared" si="170"/>
        <v>11.864406779661017</v>
      </c>
      <c r="L169" s="101">
        <v>14</v>
      </c>
      <c r="M169" s="101">
        <f t="shared" si="171"/>
        <v>953.39999999999986</v>
      </c>
      <c r="N169" s="102">
        <v>72.400000000000006</v>
      </c>
      <c r="O169" s="101">
        <f t="shared" si="172"/>
        <v>4.2372881355932206</v>
      </c>
      <c r="P169" s="101">
        <v>5</v>
      </c>
      <c r="Q169" s="101">
        <f t="shared" si="173"/>
        <v>362</v>
      </c>
      <c r="R169" s="100">
        <v>24.4</v>
      </c>
      <c r="S169" s="101">
        <f t="shared" si="174"/>
        <v>14.40677966101695</v>
      </c>
      <c r="T169" s="101">
        <v>17</v>
      </c>
      <c r="U169" s="101">
        <f t="shared" si="175"/>
        <v>414.79999999999995</v>
      </c>
      <c r="V169" s="101">
        <v>60.6</v>
      </c>
      <c r="W169" s="101">
        <f t="shared" ref="W169:W170" si="258">X169/1.18</f>
        <v>5.9322033898305087</v>
      </c>
      <c r="X169" s="101">
        <v>7</v>
      </c>
      <c r="Y169" s="101">
        <f t="shared" si="177"/>
        <v>424.2</v>
      </c>
      <c r="Z169" s="100">
        <v>76.5</v>
      </c>
      <c r="AA169" s="101">
        <f t="shared" si="178"/>
        <v>5.5084745762711869</v>
      </c>
      <c r="AB169" s="101">
        <v>6.5</v>
      </c>
      <c r="AC169" s="101">
        <f t="shared" si="179"/>
        <v>497.25</v>
      </c>
      <c r="AD169" s="101">
        <v>0</v>
      </c>
      <c r="AE169" s="101"/>
      <c r="AF169" s="101"/>
      <c r="AG169" s="101">
        <f t="shared" si="180"/>
        <v>0</v>
      </c>
      <c r="AH169" s="102">
        <v>382.3</v>
      </c>
      <c r="AI169" s="101">
        <f t="shared" si="181"/>
        <v>7.6271186440677967</v>
      </c>
      <c r="AJ169" s="110">
        <v>9</v>
      </c>
      <c r="AK169" s="101">
        <f t="shared" si="182"/>
        <v>3440.7000000000003</v>
      </c>
      <c r="AL169" s="102">
        <v>8.6</v>
      </c>
      <c r="AM169" s="101">
        <f t="shared" si="183"/>
        <v>11.864406779661017</v>
      </c>
      <c r="AN169" s="101">
        <v>14</v>
      </c>
      <c r="AO169" s="101">
        <f t="shared" si="184"/>
        <v>120.39999999999999</v>
      </c>
      <c r="AP169" s="101">
        <f t="shared" si="185"/>
        <v>5265.0423728813566</v>
      </c>
      <c r="AQ169" s="101">
        <f>I169+M169+Q169+U169+Y169+AC169+AG169+AK169+AO169</f>
        <v>6212.75</v>
      </c>
      <c r="AR169" s="102">
        <v>1120</v>
      </c>
      <c r="AS169" s="101" t="s">
        <v>270</v>
      </c>
      <c r="AT169" s="103">
        <v>0</v>
      </c>
      <c r="AU169" s="103">
        <f t="shared" si="187"/>
        <v>5.0847457627118651</v>
      </c>
      <c r="AV169" s="103">
        <v>6</v>
      </c>
      <c r="AW169" s="103">
        <f t="shared" si="188"/>
        <v>5694.9152542372885</v>
      </c>
      <c r="AX169" s="103">
        <f t="shared" si="190"/>
        <v>6720</v>
      </c>
      <c r="AY169" s="104">
        <f t="shared" si="189"/>
        <v>10959.957627118645</v>
      </c>
      <c r="AZ169" s="105">
        <f t="shared" si="189"/>
        <v>12932.75</v>
      </c>
      <c r="BA169" s="9"/>
      <c r="BB169" s="9"/>
      <c r="BC169" s="9"/>
      <c r="BD169" s="9"/>
      <c r="BE169" s="43"/>
      <c r="BF169" s="43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</row>
    <row r="170" spans="1:93" s="4" customFormat="1" ht="320.25" outlineLevel="1" x14ac:dyDescent="0.25">
      <c r="A170" s="97">
        <f t="shared" ref="A170:A171" si="259">A169+1</f>
        <v>132</v>
      </c>
      <c r="B170" s="98" t="s">
        <v>211</v>
      </c>
      <c r="C170" s="125" t="s">
        <v>151</v>
      </c>
      <c r="D170" s="99" t="s">
        <v>19</v>
      </c>
      <c r="E170" s="100">
        <f>F170+J170+N170+R170+V170+Z170+AD170+AH170+AL170</f>
        <v>1002.0999999999999</v>
      </c>
      <c r="F170" s="101">
        <v>0</v>
      </c>
      <c r="G170" s="101">
        <v>0</v>
      </c>
      <c r="H170" s="101">
        <v>0</v>
      </c>
      <c r="I170" s="101">
        <f t="shared" si="169"/>
        <v>0</v>
      </c>
      <c r="J170" s="100">
        <v>343.2</v>
      </c>
      <c r="K170" s="101">
        <f t="shared" si="170"/>
        <v>11.864406779661017</v>
      </c>
      <c r="L170" s="101">
        <v>14</v>
      </c>
      <c r="M170" s="101">
        <f t="shared" si="171"/>
        <v>4804.8</v>
      </c>
      <c r="N170" s="102">
        <v>192.1</v>
      </c>
      <c r="O170" s="101">
        <f t="shared" si="172"/>
        <v>4.2372881355932206</v>
      </c>
      <c r="P170" s="101">
        <v>5</v>
      </c>
      <c r="Q170" s="101">
        <f t="shared" si="173"/>
        <v>960.5</v>
      </c>
      <c r="R170" s="100">
        <v>0</v>
      </c>
      <c r="S170" s="101">
        <f t="shared" si="174"/>
        <v>14.40677966101695</v>
      </c>
      <c r="T170" s="101">
        <v>17</v>
      </c>
      <c r="U170" s="101">
        <f t="shared" si="175"/>
        <v>0</v>
      </c>
      <c r="V170" s="101">
        <v>0</v>
      </c>
      <c r="W170" s="101">
        <f t="shared" si="258"/>
        <v>5.9322033898305087</v>
      </c>
      <c r="X170" s="101">
        <v>7</v>
      </c>
      <c r="Y170" s="101">
        <f t="shared" si="177"/>
        <v>0</v>
      </c>
      <c r="Z170" s="100">
        <v>30.8</v>
      </c>
      <c r="AA170" s="101">
        <f t="shared" si="178"/>
        <v>5.5084745762711869</v>
      </c>
      <c r="AB170" s="101">
        <v>6.5</v>
      </c>
      <c r="AC170" s="101">
        <f t="shared" si="179"/>
        <v>200.20000000000002</v>
      </c>
      <c r="AD170" s="101">
        <v>0</v>
      </c>
      <c r="AE170" s="101"/>
      <c r="AF170" s="101"/>
      <c r="AG170" s="101">
        <f t="shared" si="180"/>
        <v>0</v>
      </c>
      <c r="AH170" s="102">
        <v>420</v>
      </c>
      <c r="AI170" s="101">
        <f t="shared" si="181"/>
        <v>7.6271186440677967</v>
      </c>
      <c r="AJ170" s="110">
        <v>9</v>
      </c>
      <c r="AK170" s="101">
        <f t="shared" si="182"/>
        <v>3780</v>
      </c>
      <c r="AL170" s="102">
        <v>16</v>
      </c>
      <c r="AM170" s="101">
        <f t="shared" si="183"/>
        <v>11.864406779661017</v>
      </c>
      <c r="AN170" s="101">
        <v>14</v>
      </c>
      <c r="AO170" s="101">
        <f t="shared" si="184"/>
        <v>224</v>
      </c>
      <c r="AP170" s="101">
        <f t="shared" si="185"/>
        <v>8448.7288135593226</v>
      </c>
      <c r="AQ170" s="101">
        <f>I170+M170+Q170+U170+Y170+AC170+AG170+AK170+AO170</f>
        <v>9969.5</v>
      </c>
      <c r="AR170" s="102">
        <v>100</v>
      </c>
      <c r="AS170" s="101" t="s">
        <v>270</v>
      </c>
      <c r="AT170" s="103">
        <v>0</v>
      </c>
      <c r="AU170" s="103">
        <f t="shared" si="187"/>
        <v>5.0847457627118651</v>
      </c>
      <c r="AV170" s="103">
        <v>6</v>
      </c>
      <c r="AW170" s="103">
        <f t="shared" si="188"/>
        <v>508.47457627118649</v>
      </c>
      <c r="AX170" s="103">
        <f t="shared" si="190"/>
        <v>600</v>
      </c>
      <c r="AY170" s="104">
        <f t="shared" ref="AY170:AZ218" si="260">AP170+AW170</f>
        <v>8957.203389830509</v>
      </c>
      <c r="AZ170" s="105">
        <f t="shared" si="260"/>
        <v>10569.5</v>
      </c>
      <c r="BA170" s="9"/>
      <c r="BB170" s="9"/>
      <c r="BC170" s="9"/>
      <c r="BD170" s="9"/>
      <c r="BE170" s="43"/>
      <c r="BF170" s="43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</row>
    <row r="171" spans="1:93" s="4" customFormat="1" ht="274.5" outlineLevel="1" x14ac:dyDescent="0.25">
      <c r="A171" s="97">
        <f t="shared" si="259"/>
        <v>133</v>
      </c>
      <c r="B171" s="98" t="s">
        <v>211</v>
      </c>
      <c r="C171" s="125" t="s">
        <v>155</v>
      </c>
      <c r="D171" s="99" t="s">
        <v>19</v>
      </c>
      <c r="E171" s="100">
        <f>F171+J171+N171+R171+V171+Z171+AD171+AH171+AL171</f>
        <v>643.70000000000005</v>
      </c>
      <c r="F171" s="101">
        <v>0</v>
      </c>
      <c r="G171" s="101">
        <v>0</v>
      </c>
      <c r="H171" s="101">
        <v>0</v>
      </c>
      <c r="I171" s="101">
        <f>H171*F171</f>
        <v>0</v>
      </c>
      <c r="J171" s="100">
        <v>122.3</v>
      </c>
      <c r="K171" s="101">
        <f>L171/1.18</f>
        <v>11.864406779661017</v>
      </c>
      <c r="L171" s="101">
        <v>14</v>
      </c>
      <c r="M171" s="101">
        <f>L171*J171</f>
        <v>1712.2</v>
      </c>
      <c r="N171" s="102">
        <v>120.2</v>
      </c>
      <c r="O171" s="101">
        <f>P171/1.18</f>
        <v>4.2372881355932206</v>
      </c>
      <c r="P171" s="101">
        <v>5</v>
      </c>
      <c r="Q171" s="101">
        <f>P171*N171</f>
        <v>601</v>
      </c>
      <c r="R171" s="100">
        <v>0</v>
      </c>
      <c r="S171" s="101">
        <f>T171/1.18</f>
        <v>14.40677966101695</v>
      </c>
      <c r="T171" s="101">
        <v>17</v>
      </c>
      <c r="U171" s="101">
        <f>T171*R171</f>
        <v>0</v>
      </c>
      <c r="V171" s="101">
        <v>0</v>
      </c>
      <c r="W171" s="101">
        <v>4.2</v>
      </c>
      <c r="X171" s="101">
        <v>7</v>
      </c>
      <c r="Y171" s="101">
        <f>X171*V171</f>
        <v>0</v>
      </c>
      <c r="Z171" s="100">
        <v>143.1</v>
      </c>
      <c r="AA171" s="101">
        <f>AB171/1.18</f>
        <v>5.5084745762711869</v>
      </c>
      <c r="AB171" s="101">
        <v>6.5</v>
      </c>
      <c r="AC171" s="101">
        <f>AB171*Z171</f>
        <v>930.15</v>
      </c>
      <c r="AD171" s="101">
        <v>0</v>
      </c>
      <c r="AE171" s="101"/>
      <c r="AF171" s="101"/>
      <c r="AG171" s="101">
        <f>AF171*AD171</f>
        <v>0</v>
      </c>
      <c r="AH171" s="102">
        <v>238.3</v>
      </c>
      <c r="AI171" s="101">
        <f>AJ171/1.18</f>
        <v>7.6271186440677967</v>
      </c>
      <c r="AJ171" s="110">
        <v>9</v>
      </c>
      <c r="AK171" s="101">
        <f>AJ171*AH171</f>
        <v>2144.7000000000003</v>
      </c>
      <c r="AL171" s="102">
        <f>8.9+3.1+7.8</f>
        <v>19.8</v>
      </c>
      <c r="AM171" s="101">
        <f>AN171/1.18</f>
        <v>11.864406779661017</v>
      </c>
      <c r="AN171" s="101">
        <v>14</v>
      </c>
      <c r="AO171" s="101">
        <f>AN171*AL171</f>
        <v>277.2</v>
      </c>
      <c r="AP171" s="101">
        <f t="shared" ref="AP171:AP221" si="261">AQ171/1.18</f>
        <v>4801.0593220338988</v>
      </c>
      <c r="AQ171" s="101">
        <f>I171+M171+Q171+U171+Y171+AC171+AG171+AK171+AO171</f>
        <v>5665.25</v>
      </c>
      <c r="AR171" s="102">
        <v>15</v>
      </c>
      <c r="AS171" s="101" t="s">
        <v>270</v>
      </c>
      <c r="AT171" s="103">
        <v>0</v>
      </c>
      <c r="AU171" s="103">
        <f t="shared" si="187"/>
        <v>5.0847457627118651</v>
      </c>
      <c r="AV171" s="103">
        <v>6</v>
      </c>
      <c r="AW171" s="103">
        <f>AU171*AR171</f>
        <v>76.27118644067798</v>
      </c>
      <c r="AX171" s="103">
        <f>AV171*AR171</f>
        <v>90</v>
      </c>
      <c r="AY171" s="104">
        <f t="shared" si="260"/>
        <v>4877.3305084745771</v>
      </c>
      <c r="AZ171" s="105">
        <f t="shared" si="260"/>
        <v>5755.25</v>
      </c>
      <c r="BA171" s="9"/>
      <c r="BB171" s="9"/>
      <c r="BC171" s="9"/>
      <c r="BD171" s="9"/>
      <c r="BE171" s="43"/>
      <c r="BF171" s="43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</row>
    <row r="172" spans="1:93" s="4" customFormat="1" ht="45.75" outlineLevel="1" x14ac:dyDescent="0.25">
      <c r="A172" s="147" t="s">
        <v>197</v>
      </c>
      <c r="B172" s="148"/>
      <c r="C172" s="148"/>
      <c r="D172" s="106"/>
      <c r="E172" s="100"/>
      <c r="F172" s="106"/>
      <c r="G172" s="101">
        <v>0</v>
      </c>
      <c r="H172" s="101">
        <v>0</v>
      </c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  <c r="AG172" s="106"/>
      <c r="AH172" s="106"/>
      <c r="AI172" s="106"/>
      <c r="AJ172" s="106"/>
      <c r="AK172" s="106"/>
      <c r="AL172" s="106"/>
      <c r="AM172" s="106"/>
      <c r="AN172" s="106"/>
      <c r="AO172" s="106"/>
      <c r="AP172" s="107"/>
      <c r="AQ172" s="107"/>
      <c r="AR172" s="106"/>
      <c r="AS172" s="101"/>
      <c r="AT172" s="106"/>
      <c r="AU172" s="106"/>
      <c r="AV172" s="106"/>
      <c r="AW172" s="106"/>
      <c r="AX172" s="106"/>
      <c r="AY172" s="107"/>
      <c r="AZ172" s="108"/>
      <c r="BA172" s="9"/>
      <c r="BB172" s="9"/>
      <c r="BC172" s="9"/>
      <c r="BD172" s="9"/>
      <c r="BE172" s="43"/>
      <c r="BF172" s="43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</row>
    <row r="173" spans="1:93" s="4" customFormat="1" ht="183" outlineLevel="1" x14ac:dyDescent="0.25">
      <c r="A173" s="97">
        <f>A171+1</f>
        <v>134</v>
      </c>
      <c r="B173" s="98" t="s">
        <v>211</v>
      </c>
      <c r="C173" s="125" t="s">
        <v>153</v>
      </c>
      <c r="D173" s="99" t="s">
        <v>19</v>
      </c>
      <c r="E173" s="100">
        <f>F173+J173+N173+R173+V173+Z173+AD173+AH173+AL173</f>
        <v>633.50000000000011</v>
      </c>
      <c r="F173" s="101">
        <v>0</v>
      </c>
      <c r="G173" s="101">
        <v>0</v>
      </c>
      <c r="H173" s="101">
        <v>0</v>
      </c>
      <c r="I173" s="101">
        <f t="shared" si="169"/>
        <v>0</v>
      </c>
      <c r="J173" s="100">
        <v>167.5</v>
      </c>
      <c r="K173" s="101">
        <f t="shared" si="170"/>
        <v>11.864406779661017</v>
      </c>
      <c r="L173" s="101">
        <v>14</v>
      </c>
      <c r="M173" s="101">
        <f t="shared" si="171"/>
        <v>2345</v>
      </c>
      <c r="N173" s="102">
        <v>143.30000000000001</v>
      </c>
      <c r="O173" s="101">
        <f>P173/1.18</f>
        <v>4.2372881355932206</v>
      </c>
      <c r="P173" s="101">
        <v>5</v>
      </c>
      <c r="Q173" s="101">
        <f>P173*N173</f>
        <v>716.5</v>
      </c>
      <c r="R173" s="100">
        <v>51.8</v>
      </c>
      <c r="S173" s="101">
        <f t="shared" si="174"/>
        <v>14.40677966101695</v>
      </c>
      <c r="T173" s="101">
        <v>17</v>
      </c>
      <c r="U173" s="101">
        <f t="shared" si="175"/>
        <v>880.59999999999991</v>
      </c>
      <c r="V173" s="101">
        <v>0</v>
      </c>
      <c r="W173" s="101">
        <f t="shared" ref="W173:W174" si="262">X173/1.18</f>
        <v>5.9322033898305087</v>
      </c>
      <c r="X173" s="101">
        <v>7</v>
      </c>
      <c r="Y173" s="101">
        <f t="shared" si="177"/>
        <v>0</v>
      </c>
      <c r="Z173" s="100">
        <f>71.3+13.4+13.4</f>
        <v>98.100000000000009</v>
      </c>
      <c r="AA173" s="101">
        <f t="shared" si="178"/>
        <v>5.5084745762711869</v>
      </c>
      <c r="AB173" s="101">
        <v>6.5</v>
      </c>
      <c r="AC173" s="101">
        <f t="shared" si="179"/>
        <v>637.65000000000009</v>
      </c>
      <c r="AD173" s="101">
        <v>0</v>
      </c>
      <c r="AE173" s="101"/>
      <c r="AF173" s="101"/>
      <c r="AG173" s="101">
        <f t="shared" si="180"/>
        <v>0</v>
      </c>
      <c r="AH173" s="102">
        <v>165.7</v>
      </c>
      <c r="AI173" s="101">
        <f t="shared" si="181"/>
        <v>7.6271186440677967</v>
      </c>
      <c r="AJ173" s="110">
        <v>9</v>
      </c>
      <c r="AK173" s="101">
        <f t="shared" si="182"/>
        <v>1491.3</v>
      </c>
      <c r="AL173" s="102">
        <v>7.1</v>
      </c>
      <c r="AM173" s="101">
        <f t="shared" si="183"/>
        <v>11.864406779661017</v>
      </c>
      <c r="AN173" s="101">
        <v>14</v>
      </c>
      <c r="AO173" s="101">
        <f t="shared" si="184"/>
        <v>99.399999999999991</v>
      </c>
      <c r="AP173" s="101">
        <f t="shared" si="261"/>
        <v>5229.1949152542375</v>
      </c>
      <c r="AQ173" s="101">
        <f>I173+M173+Q173+U173+Y173+AC173+AG173+AK173+AO173</f>
        <v>6170.45</v>
      </c>
      <c r="AR173" s="102">
        <v>20.010000000000002</v>
      </c>
      <c r="AS173" s="101" t="s">
        <v>270</v>
      </c>
      <c r="AT173" s="103">
        <v>0</v>
      </c>
      <c r="AU173" s="103">
        <f t="shared" si="187"/>
        <v>5.0847457627118651</v>
      </c>
      <c r="AV173" s="103">
        <v>6</v>
      </c>
      <c r="AW173" s="103">
        <f t="shared" si="188"/>
        <v>101.74576271186443</v>
      </c>
      <c r="AX173" s="103">
        <f t="shared" si="190"/>
        <v>120.06</v>
      </c>
      <c r="AY173" s="104">
        <f t="shared" si="260"/>
        <v>5330.9406779661022</v>
      </c>
      <c r="AZ173" s="105">
        <f t="shared" si="260"/>
        <v>6290.51</v>
      </c>
      <c r="BA173" s="9"/>
      <c r="BB173" s="9"/>
      <c r="BC173" s="9"/>
      <c r="BD173" s="9"/>
      <c r="BE173" s="43"/>
      <c r="BF173" s="43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</row>
    <row r="174" spans="1:93" s="4" customFormat="1" ht="228.75" outlineLevel="1" x14ac:dyDescent="0.25">
      <c r="A174" s="97">
        <f>A173+1</f>
        <v>135</v>
      </c>
      <c r="B174" s="98" t="s">
        <v>211</v>
      </c>
      <c r="C174" s="125" t="s">
        <v>154</v>
      </c>
      <c r="D174" s="99" t="s">
        <v>19</v>
      </c>
      <c r="E174" s="100">
        <f>F174+J174+N174+R174+V174+Z174+AD174+AH174+AL174</f>
        <v>246.70000000000002</v>
      </c>
      <c r="F174" s="101">
        <v>0</v>
      </c>
      <c r="G174" s="101">
        <v>0</v>
      </c>
      <c r="H174" s="101">
        <v>0</v>
      </c>
      <c r="I174" s="101">
        <f t="shared" si="169"/>
        <v>0</v>
      </c>
      <c r="J174" s="100">
        <v>0</v>
      </c>
      <c r="K174" s="101">
        <f t="shared" si="170"/>
        <v>11.864406779661017</v>
      </c>
      <c r="L174" s="101">
        <v>14</v>
      </c>
      <c r="M174" s="101">
        <f t="shared" si="171"/>
        <v>0</v>
      </c>
      <c r="N174" s="102">
        <v>53</v>
      </c>
      <c r="O174" s="101">
        <f>P174/1.18</f>
        <v>4.2372881355932206</v>
      </c>
      <c r="P174" s="101">
        <v>5</v>
      </c>
      <c r="Q174" s="101">
        <f>P174*N174</f>
        <v>265</v>
      </c>
      <c r="R174" s="100">
        <v>0</v>
      </c>
      <c r="S174" s="101">
        <f t="shared" si="174"/>
        <v>14.40677966101695</v>
      </c>
      <c r="T174" s="101">
        <v>17</v>
      </c>
      <c r="U174" s="101">
        <f t="shared" si="175"/>
        <v>0</v>
      </c>
      <c r="V174" s="101">
        <v>0</v>
      </c>
      <c r="W174" s="101">
        <f t="shared" si="262"/>
        <v>5.9322033898305087</v>
      </c>
      <c r="X174" s="101">
        <v>7</v>
      </c>
      <c r="Y174" s="101">
        <f t="shared" si="177"/>
        <v>0</v>
      </c>
      <c r="Z174" s="100">
        <v>93.9</v>
      </c>
      <c r="AA174" s="101">
        <f t="shared" si="178"/>
        <v>5.5084745762711869</v>
      </c>
      <c r="AB174" s="101">
        <v>6.5</v>
      </c>
      <c r="AC174" s="101">
        <f t="shared" si="179"/>
        <v>610.35</v>
      </c>
      <c r="AD174" s="101">
        <v>0</v>
      </c>
      <c r="AE174" s="101"/>
      <c r="AF174" s="101"/>
      <c r="AG174" s="101">
        <f t="shared" si="180"/>
        <v>0</v>
      </c>
      <c r="AH174" s="102">
        <v>91.2</v>
      </c>
      <c r="AI174" s="101">
        <f t="shared" si="181"/>
        <v>7.6271186440677967</v>
      </c>
      <c r="AJ174" s="110">
        <v>9</v>
      </c>
      <c r="AK174" s="101">
        <f t="shared" si="182"/>
        <v>820.80000000000007</v>
      </c>
      <c r="AL174" s="102">
        <v>8.6</v>
      </c>
      <c r="AM174" s="101">
        <f t="shared" si="183"/>
        <v>11.864406779661017</v>
      </c>
      <c r="AN174" s="101">
        <v>14</v>
      </c>
      <c r="AO174" s="101">
        <f t="shared" si="184"/>
        <v>120.39999999999999</v>
      </c>
      <c r="AP174" s="101">
        <f t="shared" si="261"/>
        <v>1539.4491525423732</v>
      </c>
      <c r="AQ174" s="101">
        <f>I174+M174+Q174+U174+Y174+AC174+AG174+AK174+AO174</f>
        <v>1816.5500000000002</v>
      </c>
      <c r="AR174" s="102">
        <v>0</v>
      </c>
      <c r="AS174" s="101" t="s">
        <v>270</v>
      </c>
      <c r="AT174" s="103">
        <v>0</v>
      </c>
      <c r="AU174" s="103">
        <f t="shared" si="187"/>
        <v>5.0847457627118651</v>
      </c>
      <c r="AV174" s="103">
        <v>6</v>
      </c>
      <c r="AW174" s="103">
        <f t="shared" si="188"/>
        <v>0</v>
      </c>
      <c r="AX174" s="103">
        <f t="shared" si="190"/>
        <v>0</v>
      </c>
      <c r="AY174" s="104">
        <f t="shared" si="260"/>
        <v>1539.4491525423732</v>
      </c>
      <c r="AZ174" s="105">
        <f t="shared" si="260"/>
        <v>1816.5500000000002</v>
      </c>
      <c r="BA174" s="9"/>
      <c r="BB174" s="9"/>
      <c r="BC174" s="9"/>
      <c r="BD174" s="9"/>
      <c r="BE174" s="43"/>
      <c r="BF174" s="43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  <c r="BT174" s="40"/>
      <c r="BU174" s="40"/>
      <c r="BV174" s="40"/>
      <c r="BW174" s="40"/>
      <c r="BX174" s="40"/>
      <c r="BY174" s="40"/>
      <c r="BZ174" s="40"/>
      <c r="CA174" s="40"/>
      <c r="CB174" s="40"/>
      <c r="CC174" s="40"/>
      <c r="CD174" s="40"/>
      <c r="CE174" s="40"/>
      <c r="CF174" s="40"/>
      <c r="CG174" s="40"/>
      <c r="CH174" s="40"/>
      <c r="CI174" s="40"/>
      <c r="CJ174" s="40"/>
      <c r="CK174" s="40"/>
      <c r="CL174" s="40"/>
      <c r="CM174" s="40"/>
      <c r="CN174" s="40"/>
      <c r="CO174" s="40"/>
    </row>
    <row r="175" spans="1:93" s="5" customFormat="1" ht="45.75" outlineLevel="1" x14ac:dyDescent="0.25">
      <c r="A175" s="147" t="s">
        <v>198</v>
      </c>
      <c r="B175" s="148"/>
      <c r="C175" s="148"/>
      <c r="D175" s="106"/>
      <c r="E175" s="100"/>
      <c r="F175" s="106"/>
      <c r="G175" s="101">
        <v>0</v>
      </c>
      <c r="H175" s="101">
        <v>0</v>
      </c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  <c r="AF175" s="106"/>
      <c r="AG175" s="106"/>
      <c r="AH175" s="106"/>
      <c r="AI175" s="106"/>
      <c r="AJ175" s="106"/>
      <c r="AK175" s="106"/>
      <c r="AL175" s="106"/>
      <c r="AM175" s="106"/>
      <c r="AN175" s="106"/>
      <c r="AO175" s="106"/>
      <c r="AP175" s="101"/>
      <c r="AQ175" s="101"/>
      <c r="AR175" s="106"/>
      <c r="AS175" s="101"/>
      <c r="AT175" s="106"/>
      <c r="AU175" s="106"/>
      <c r="AV175" s="106"/>
      <c r="AW175" s="106"/>
      <c r="AX175" s="106"/>
      <c r="AY175" s="104"/>
      <c r="AZ175" s="105"/>
      <c r="BA175" s="9"/>
      <c r="BB175" s="9"/>
      <c r="BC175" s="9"/>
      <c r="BD175" s="9"/>
      <c r="BE175" s="9"/>
      <c r="BF175" s="9"/>
    </row>
    <row r="176" spans="1:93" s="4" customFormat="1" ht="320.25" outlineLevel="1" x14ac:dyDescent="0.25">
      <c r="A176" s="97">
        <v>136</v>
      </c>
      <c r="B176" s="98" t="s">
        <v>211</v>
      </c>
      <c r="C176" s="125" t="s">
        <v>156</v>
      </c>
      <c r="D176" s="99" t="s">
        <v>19</v>
      </c>
      <c r="E176" s="100">
        <v>773.9</v>
      </c>
      <c r="F176" s="101">
        <v>0</v>
      </c>
      <c r="G176" s="101">
        <v>0</v>
      </c>
      <c r="H176" s="101">
        <v>0</v>
      </c>
      <c r="I176" s="101">
        <f t="shared" si="169"/>
        <v>0</v>
      </c>
      <c r="J176" s="100">
        <v>94.4</v>
      </c>
      <c r="K176" s="101">
        <f t="shared" si="170"/>
        <v>11.864406779661017</v>
      </c>
      <c r="L176" s="101">
        <v>14</v>
      </c>
      <c r="M176" s="101">
        <f t="shared" si="171"/>
        <v>1321.6000000000001</v>
      </c>
      <c r="N176" s="102">
        <v>41.1</v>
      </c>
      <c r="O176" s="101">
        <f t="shared" si="172"/>
        <v>4.2372881355932206</v>
      </c>
      <c r="P176" s="101">
        <v>5</v>
      </c>
      <c r="Q176" s="101">
        <f t="shared" si="173"/>
        <v>205.5</v>
      </c>
      <c r="R176" s="100">
        <v>29.6</v>
      </c>
      <c r="S176" s="101">
        <f t="shared" si="174"/>
        <v>14.40677966101695</v>
      </c>
      <c r="T176" s="101">
        <v>17</v>
      </c>
      <c r="U176" s="101">
        <f t="shared" si="175"/>
        <v>503.20000000000005</v>
      </c>
      <c r="V176" s="101">
        <v>0</v>
      </c>
      <c r="W176" s="101">
        <f t="shared" ref="W176" si="263">X176/1.18</f>
        <v>5.9322033898305087</v>
      </c>
      <c r="X176" s="101">
        <v>7</v>
      </c>
      <c r="Y176" s="101">
        <f t="shared" si="177"/>
        <v>0</v>
      </c>
      <c r="Z176" s="100">
        <v>394.9</v>
      </c>
      <c r="AA176" s="101">
        <f t="shared" si="178"/>
        <v>5.5084745762711869</v>
      </c>
      <c r="AB176" s="101">
        <v>6.5</v>
      </c>
      <c r="AC176" s="101">
        <f t="shared" si="179"/>
        <v>2566.85</v>
      </c>
      <c r="AD176" s="101">
        <v>0</v>
      </c>
      <c r="AE176" s="101"/>
      <c r="AF176" s="101"/>
      <c r="AG176" s="101">
        <f t="shared" si="180"/>
        <v>0</v>
      </c>
      <c r="AH176" s="102">
        <v>189.5</v>
      </c>
      <c r="AI176" s="101">
        <f t="shared" si="181"/>
        <v>7.6271186440677967</v>
      </c>
      <c r="AJ176" s="110">
        <v>9</v>
      </c>
      <c r="AK176" s="101">
        <f t="shared" si="182"/>
        <v>1705.5</v>
      </c>
      <c r="AL176" s="102">
        <v>24.4</v>
      </c>
      <c r="AM176" s="101">
        <f t="shared" si="183"/>
        <v>11.864406779661017</v>
      </c>
      <c r="AN176" s="101">
        <v>14</v>
      </c>
      <c r="AO176" s="101">
        <f t="shared" si="184"/>
        <v>341.59999999999997</v>
      </c>
      <c r="AP176" s="101">
        <f t="shared" si="261"/>
        <v>5630.7203389830511</v>
      </c>
      <c r="AQ176" s="101">
        <f>I176+M176+Q176+U176+Y176+AC176+AG176+AK176+AO176</f>
        <v>6644.25</v>
      </c>
      <c r="AR176" s="102">
        <v>350</v>
      </c>
      <c r="AS176" s="101" t="s">
        <v>270</v>
      </c>
      <c r="AT176" s="103">
        <v>0</v>
      </c>
      <c r="AU176" s="103">
        <f t="shared" si="187"/>
        <v>5.0847457627118651</v>
      </c>
      <c r="AV176" s="103">
        <v>6</v>
      </c>
      <c r="AW176" s="103">
        <f t="shared" si="188"/>
        <v>1779.6610169491528</v>
      </c>
      <c r="AX176" s="103">
        <f t="shared" si="190"/>
        <v>2100</v>
      </c>
      <c r="AY176" s="104">
        <f t="shared" si="260"/>
        <v>7410.3813559322043</v>
      </c>
      <c r="AZ176" s="105">
        <f t="shared" si="260"/>
        <v>8744.25</v>
      </c>
      <c r="BA176" s="9"/>
      <c r="BB176" s="9"/>
      <c r="BC176" s="9"/>
      <c r="BD176" s="9"/>
      <c r="BE176" s="43"/>
      <c r="BF176" s="43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</row>
    <row r="177" spans="1:93" s="4" customFormat="1" ht="274.5" outlineLevel="1" x14ac:dyDescent="0.25">
      <c r="A177" s="97">
        <f>A176+1</f>
        <v>137</v>
      </c>
      <c r="B177" s="98" t="s">
        <v>211</v>
      </c>
      <c r="C177" s="125" t="s">
        <v>161</v>
      </c>
      <c r="D177" s="99" t="s">
        <v>19</v>
      </c>
      <c r="E177" s="100">
        <f>F177+J177+N177+R177+V177+Z177+AD177+AH177+AL177</f>
        <v>862.9</v>
      </c>
      <c r="F177" s="101">
        <v>0</v>
      </c>
      <c r="G177" s="101">
        <v>0</v>
      </c>
      <c r="H177" s="101">
        <v>0</v>
      </c>
      <c r="I177" s="101">
        <f t="shared" si="169"/>
        <v>0</v>
      </c>
      <c r="J177" s="100">
        <v>69.8</v>
      </c>
      <c r="K177" s="101">
        <f t="shared" ref="K177:K221" si="264">L177/1.18</f>
        <v>11.864406779661017</v>
      </c>
      <c r="L177" s="101">
        <v>14</v>
      </c>
      <c r="M177" s="101">
        <f t="shared" si="171"/>
        <v>977.19999999999993</v>
      </c>
      <c r="N177" s="102">
        <v>313.8</v>
      </c>
      <c r="O177" s="101">
        <f t="shared" si="172"/>
        <v>4.2372881355932206</v>
      </c>
      <c r="P177" s="101">
        <v>5</v>
      </c>
      <c r="Q177" s="101">
        <f t="shared" si="173"/>
        <v>1569</v>
      </c>
      <c r="R177" s="100">
        <v>24.6</v>
      </c>
      <c r="S177" s="101">
        <f t="shared" si="174"/>
        <v>14.40677966101695</v>
      </c>
      <c r="T177" s="101">
        <v>17</v>
      </c>
      <c r="U177" s="101">
        <f t="shared" si="175"/>
        <v>418.20000000000005</v>
      </c>
      <c r="V177" s="101">
        <v>27.6</v>
      </c>
      <c r="W177" s="101">
        <f t="shared" ref="W177" si="265">X177/1.18</f>
        <v>5.9322033898305087</v>
      </c>
      <c r="X177" s="101">
        <v>7</v>
      </c>
      <c r="Y177" s="101">
        <f t="shared" si="177"/>
        <v>193.20000000000002</v>
      </c>
      <c r="Z177" s="100">
        <v>105.4</v>
      </c>
      <c r="AA177" s="101">
        <f t="shared" ref="AA177:AA221" si="266">AB177/1.18</f>
        <v>5.5084745762711869</v>
      </c>
      <c r="AB177" s="101">
        <v>6.5</v>
      </c>
      <c r="AC177" s="101">
        <f t="shared" si="179"/>
        <v>685.1</v>
      </c>
      <c r="AD177" s="101">
        <v>0</v>
      </c>
      <c r="AE177" s="101"/>
      <c r="AF177" s="101"/>
      <c r="AG177" s="101">
        <f t="shared" si="180"/>
        <v>0</v>
      </c>
      <c r="AH177" s="102">
        <v>303.8</v>
      </c>
      <c r="AI177" s="101">
        <f t="shared" ref="AI177:AI221" si="267">AJ177/1.18</f>
        <v>7.6271186440677967</v>
      </c>
      <c r="AJ177" s="110">
        <v>9</v>
      </c>
      <c r="AK177" s="101">
        <f t="shared" si="182"/>
        <v>2734.2000000000003</v>
      </c>
      <c r="AL177" s="102">
        <v>17.899999999999999</v>
      </c>
      <c r="AM177" s="101">
        <f t="shared" si="183"/>
        <v>11.864406779661017</v>
      </c>
      <c r="AN177" s="101">
        <v>14</v>
      </c>
      <c r="AO177" s="101">
        <f t="shared" si="184"/>
        <v>250.59999999999997</v>
      </c>
      <c r="AP177" s="101">
        <f t="shared" si="261"/>
        <v>5786.016949152543</v>
      </c>
      <c r="AQ177" s="101">
        <f>I177+M177+Q177+U177+Y177+AC177+AG177+AK177+AO177</f>
        <v>6827.5</v>
      </c>
      <c r="AR177" s="102">
        <v>420</v>
      </c>
      <c r="AS177" s="101" t="s">
        <v>270</v>
      </c>
      <c r="AT177" s="103">
        <v>0</v>
      </c>
      <c r="AU177" s="103">
        <f t="shared" ref="AU177" si="268">AV177/1.18</f>
        <v>5.0847457627118651</v>
      </c>
      <c r="AV177" s="103">
        <v>6</v>
      </c>
      <c r="AW177" s="103">
        <f t="shared" si="188"/>
        <v>2135.5932203389834</v>
      </c>
      <c r="AX177" s="103">
        <f t="shared" si="190"/>
        <v>2520</v>
      </c>
      <c r="AY177" s="104">
        <f t="shared" si="260"/>
        <v>7921.6101694915269</v>
      </c>
      <c r="AZ177" s="105">
        <f t="shared" si="260"/>
        <v>9347.5</v>
      </c>
      <c r="BA177" s="9"/>
      <c r="BB177" s="9"/>
      <c r="BC177" s="9"/>
      <c r="BD177" s="9"/>
      <c r="BE177" s="43"/>
      <c r="BF177" s="43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</row>
    <row r="178" spans="1:93" s="29" customFormat="1" ht="45.75" outlineLevel="1" x14ac:dyDescent="0.3">
      <c r="A178" s="145" t="s">
        <v>248</v>
      </c>
      <c r="B178" s="146"/>
      <c r="C178" s="146"/>
      <c r="D178" s="120"/>
      <c r="E178" s="100"/>
      <c r="F178" s="120"/>
      <c r="G178" s="101">
        <v>0</v>
      </c>
      <c r="H178" s="101">
        <v>0</v>
      </c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F178" s="120"/>
      <c r="AG178" s="120"/>
      <c r="AH178" s="120"/>
      <c r="AI178" s="120"/>
      <c r="AJ178" s="120"/>
      <c r="AK178" s="120"/>
      <c r="AL178" s="120"/>
      <c r="AM178" s="120"/>
      <c r="AN178" s="120"/>
      <c r="AO178" s="120"/>
      <c r="AP178" s="107"/>
      <c r="AQ178" s="107"/>
      <c r="AR178" s="120"/>
      <c r="AS178" s="101"/>
      <c r="AT178" s="120"/>
      <c r="AU178" s="120"/>
      <c r="AV178" s="120"/>
      <c r="AW178" s="120"/>
      <c r="AX178" s="120"/>
      <c r="AY178" s="107"/>
      <c r="AZ178" s="108"/>
      <c r="BA178" s="28"/>
      <c r="BB178" s="28"/>
      <c r="BC178" s="28"/>
      <c r="BD178" s="28"/>
      <c r="BE178" s="28"/>
      <c r="BF178" s="28"/>
    </row>
    <row r="179" spans="1:93" s="4" customFormat="1" ht="228.75" outlineLevel="1" x14ac:dyDescent="0.25">
      <c r="A179" s="97">
        <f>A177+1</f>
        <v>138</v>
      </c>
      <c r="B179" s="98" t="s">
        <v>253</v>
      </c>
      <c r="C179" s="125" t="s">
        <v>252</v>
      </c>
      <c r="D179" s="99"/>
      <c r="E179" s="100">
        <f t="shared" ref="E179:E193" si="269">F179+J179+N179+R179+V179+Z179+AD179+AH179+AL179</f>
        <v>145.1</v>
      </c>
      <c r="F179" s="101">
        <v>0</v>
      </c>
      <c r="G179" s="101">
        <v>0</v>
      </c>
      <c r="H179" s="101">
        <v>0</v>
      </c>
      <c r="I179" s="101">
        <f t="shared" ref="I179:I221" si="270">H179*F179</f>
        <v>0</v>
      </c>
      <c r="J179" s="100">
        <f>21+11.9+30.8+49.8</f>
        <v>113.5</v>
      </c>
      <c r="K179" s="101">
        <f t="shared" si="264"/>
        <v>11.864406779661017</v>
      </c>
      <c r="L179" s="101">
        <v>14</v>
      </c>
      <c r="M179" s="101">
        <f t="shared" ref="M179:M221" si="271">L179*J179</f>
        <v>1589</v>
      </c>
      <c r="N179" s="102">
        <v>0</v>
      </c>
      <c r="O179" s="101">
        <f t="shared" ref="O179:O221" si="272">P179/1.18</f>
        <v>4.2372881355932206</v>
      </c>
      <c r="P179" s="101">
        <v>5</v>
      </c>
      <c r="Q179" s="101">
        <f t="shared" ref="Q179:Q221" si="273">P179*N179</f>
        <v>0</v>
      </c>
      <c r="R179" s="100">
        <v>0</v>
      </c>
      <c r="S179" s="101">
        <f t="shared" ref="S179:S221" si="274">T179/1.18</f>
        <v>14.40677966101695</v>
      </c>
      <c r="T179" s="101">
        <v>17</v>
      </c>
      <c r="U179" s="101">
        <f t="shared" ref="U179:U221" si="275">T179*R179</f>
        <v>0</v>
      </c>
      <c r="V179" s="101">
        <v>0</v>
      </c>
      <c r="W179" s="101">
        <f t="shared" ref="W179:W182" si="276">X179/1.18</f>
        <v>5.9322033898305087</v>
      </c>
      <c r="X179" s="101">
        <v>7</v>
      </c>
      <c r="Y179" s="101">
        <f t="shared" ref="Y179:Y221" si="277">X179*V179</f>
        <v>0</v>
      </c>
      <c r="Z179" s="100">
        <f>26.9</f>
        <v>26.9</v>
      </c>
      <c r="AA179" s="101">
        <f t="shared" si="266"/>
        <v>5.5084745762711869</v>
      </c>
      <c r="AB179" s="101">
        <v>6.5</v>
      </c>
      <c r="AC179" s="101">
        <f t="shared" ref="AC179:AC217" si="278">AB179*Z179</f>
        <v>174.85</v>
      </c>
      <c r="AD179" s="101">
        <v>0</v>
      </c>
      <c r="AE179" s="101"/>
      <c r="AF179" s="101"/>
      <c r="AG179" s="101">
        <f t="shared" ref="AG179:AG215" si="279">AF179*AD179</f>
        <v>0</v>
      </c>
      <c r="AH179" s="102">
        <v>0</v>
      </c>
      <c r="AI179" s="101">
        <f t="shared" si="267"/>
        <v>7.6271186440677967</v>
      </c>
      <c r="AJ179" s="110">
        <v>9</v>
      </c>
      <c r="AK179" s="101">
        <f t="shared" ref="AK179:AK221" si="280">AJ179*AH179</f>
        <v>0</v>
      </c>
      <c r="AL179" s="102">
        <f>2.9+1.8</f>
        <v>4.7</v>
      </c>
      <c r="AM179" s="101">
        <f t="shared" ref="AM179:AM221" si="281">AN179/1.18</f>
        <v>11.864406779661017</v>
      </c>
      <c r="AN179" s="101">
        <v>14</v>
      </c>
      <c r="AO179" s="101">
        <f t="shared" ref="AO179:AO221" si="282">AN179*AL179</f>
        <v>65.8</v>
      </c>
      <c r="AP179" s="101">
        <f t="shared" si="261"/>
        <v>1550.550847457627</v>
      </c>
      <c r="AQ179" s="101">
        <f t="shared" ref="AQ179:AQ193" si="283">I179+M179+Q179+U179+Y179+AC179+AG179+AK179+AO179</f>
        <v>1829.6499999999999</v>
      </c>
      <c r="AR179" s="102">
        <v>0</v>
      </c>
      <c r="AS179" s="101" t="s">
        <v>270</v>
      </c>
      <c r="AT179" s="103">
        <v>0</v>
      </c>
      <c r="AU179" s="103">
        <f t="shared" ref="AU179:AU218" si="284">AV179/1.18</f>
        <v>5.0847457627118651</v>
      </c>
      <c r="AV179" s="103">
        <v>6</v>
      </c>
      <c r="AW179" s="103">
        <f t="shared" ref="AW179:AW218" si="285">AU179*AR179</f>
        <v>0</v>
      </c>
      <c r="AX179" s="103">
        <f t="shared" ref="AX179:AX182" si="286">AV179*AR179</f>
        <v>0</v>
      </c>
      <c r="AY179" s="104">
        <f t="shared" si="260"/>
        <v>1550.550847457627</v>
      </c>
      <c r="AZ179" s="105">
        <f t="shared" si="260"/>
        <v>1829.6499999999999</v>
      </c>
      <c r="BA179" s="9"/>
      <c r="BB179" s="9"/>
      <c r="BC179" s="9"/>
      <c r="BD179" s="9"/>
      <c r="BE179" s="43"/>
      <c r="BF179" s="43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</row>
    <row r="180" spans="1:93" s="4" customFormat="1" ht="320.25" outlineLevel="1" x14ac:dyDescent="0.25">
      <c r="A180" s="97">
        <f>A179+1</f>
        <v>139</v>
      </c>
      <c r="B180" s="98" t="s">
        <v>254</v>
      </c>
      <c r="C180" s="125" t="s">
        <v>256</v>
      </c>
      <c r="D180" s="99"/>
      <c r="E180" s="100">
        <f t="shared" si="269"/>
        <v>116</v>
      </c>
      <c r="F180" s="101">
        <v>0</v>
      </c>
      <c r="G180" s="101">
        <v>0</v>
      </c>
      <c r="H180" s="101">
        <v>0</v>
      </c>
      <c r="I180" s="101">
        <f t="shared" si="270"/>
        <v>0</v>
      </c>
      <c r="J180" s="100">
        <v>37.1</v>
      </c>
      <c r="K180" s="101">
        <f t="shared" si="264"/>
        <v>11.864406779661017</v>
      </c>
      <c r="L180" s="101">
        <v>14</v>
      </c>
      <c r="M180" s="101">
        <f t="shared" si="271"/>
        <v>519.4</v>
      </c>
      <c r="N180" s="102">
        <v>0</v>
      </c>
      <c r="O180" s="101">
        <f t="shared" si="272"/>
        <v>4.2372881355932206</v>
      </c>
      <c r="P180" s="101">
        <v>5</v>
      </c>
      <c r="Q180" s="101">
        <f t="shared" si="273"/>
        <v>0</v>
      </c>
      <c r="R180" s="100">
        <v>0</v>
      </c>
      <c r="S180" s="101">
        <f t="shared" si="274"/>
        <v>14.40677966101695</v>
      </c>
      <c r="T180" s="101">
        <v>17</v>
      </c>
      <c r="U180" s="101">
        <f t="shared" si="275"/>
        <v>0</v>
      </c>
      <c r="V180" s="101">
        <v>15.5</v>
      </c>
      <c r="W180" s="101">
        <f t="shared" si="276"/>
        <v>5.9322033898305087</v>
      </c>
      <c r="X180" s="101">
        <v>7</v>
      </c>
      <c r="Y180" s="101">
        <f t="shared" si="277"/>
        <v>108.5</v>
      </c>
      <c r="Z180" s="100">
        <f>8.1+9.3+14.85+6.75+3.45+11.55</f>
        <v>54</v>
      </c>
      <c r="AA180" s="101">
        <f t="shared" si="266"/>
        <v>5.5084745762711869</v>
      </c>
      <c r="AB180" s="101">
        <v>6.5</v>
      </c>
      <c r="AC180" s="101">
        <f t="shared" si="278"/>
        <v>351</v>
      </c>
      <c r="AD180" s="101">
        <v>0</v>
      </c>
      <c r="AE180" s="101"/>
      <c r="AF180" s="101"/>
      <c r="AG180" s="101">
        <f t="shared" si="279"/>
        <v>0</v>
      </c>
      <c r="AH180" s="102">
        <v>0</v>
      </c>
      <c r="AI180" s="101">
        <f t="shared" si="267"/>
        <v>7.6271186440677967</v>
      </c>
      <c r="AJ180" s="110">
        <v>9</v>
      </c>
      <c r="AK180" s="101">
        <f t="shared" si="280"/>
        <v>0</v>
      </c>
      <c r="AL180" s="102">
        <v>9.4</v>
      </c>
      <c r="AM180" s="101">
        <f t="shared" si="281"/>
        <v>11.864406779661017</v>
      </c>
      <c r="AN180" s="101">
        <v>14</v>
      </c>
      <c r="AO180" s="101">
        <f t="shared" si="282"/>
        <v>131.6</v>
      </c>
      <c r="AP180" s="101">
        <f t="shared" si="261"/>
        <v>941.10169491525426</v>
      </c>
      <c r="AQ180" s="101">
        <f t="shared" si="283"/>
        <v>1110.5</v>
      </c>
      <c r="AR180" s="102">
        <v>0</v>
      </c>
      <c r="AS180" s="101" t="s">
        <v>270</v>
      </c>
      <c r="AT180" s="103">
        <v>0</v>
      </c>
      <c r="AU180" s="103">
        <f t="shared" si="284"/>
        <v>5.0847457627118651</v>
      </c>
      <c r="AV180" s="103">
        <v>6</v>
      </c>
      <c r="AW180" s="103">
        <f t="shared" si="285"/>
        <v>0</v>
      </c>
      <c r="AX180" s="103">
        <f t="shared" si="286"/>
        <v>0</v>
      </c>
      <c r="AY180" s="104">
        <f t="shared" si="260"/>
        <v>941.10169491525426</v>
      </c>
      <c r="AZ180" s="105">
        <f t="shared" si="260"/>
        <v>1110.5</v>
      </c>
      <c r="BA180" s="9"/>
      <c r="BB180" s="9"/>
      <c r="BC180" s="9"/>
      <c r="BD180" s="9"/>
      <c r="BE180" s="43"/>
      <c r="BF180" s="43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</row>
    <row r="181" spans="1:93" s="4" customFormat="1" ht="183" outlineLevel="1" x14ac:dyDescent="0.25">
      <c r="A181" s="97">
        <f t="shared" ref="A181:A182" si="287">A180+1</f>
        <v>140</v>
      </c>
      <c r="B181" s="98" t="s">
        <v>255</v>
      </c>
      <c r="C181" s="125" t="s">
        <v>257</v>
      </c>
      <c r="D181" s="99"/>
      <c r="E181" s="100">
        <f t="shared" si="269"/>
        <v>17</v>
      </c>
      <c r="F181" s="101">
        <v>0</v>
      </c>
      <c r="G181" s="101">
        <v>0</v>
      </c>
      <c r="H181" s="101">
        <v>0</v>
      </c>
      <c r="I181" s="101">
        <f t="shared" si="270"/>
        <v>0</v>
      </c>
      <c r="J181" s="100">
        <v>0</v>
      </c>
      <c r="K181" s="101">
        <f t="shared" si="264"/>
        <v>11.864406779661017</v>
      </c>
      <c r="L181" s="101">
        <v>14</v>
      </c>
      <c r="M181" s="101">
        <f t="shared" si="271"/>
        <v>0</v>
      </c>
      <c r="N181" s="102">
        <v>17</v>
      </c>
      <c r="O181" s="101">
        <f t="shared" si="272"/>
        <v>4.2372881355932206</v>
      </c>
      <c r="P181" s="101">
        <v>5</v>
      </c>
      <c r="Q181" s="101">
        <f t="shared" si="273"/>
        <v>85</v>
      </c>
      <c r="R181" s="100">
        <v>0</v>
      </c>
      <c r="S181" s="101">
        <f t="shared" si="274"/>
        <v>14.40677966101695</v>
      </c>
      <c r="T181" s="101">
        <v>17</v>
      </c>
      <c r="U181" s="101">
        <f t="shared" si="275"/>
        <v>0</v>
      </c>
      <c r="V181" s="101">
        <v>0</v>
      </c>
      <c r="W181" s="101">
        <f t="shared" si="276"/>
        <v>5.9322033898305087</v>
      </c>
      <c r="X181" s="101">
        <v>7</v>
      </c>
      <c r="Y181" s="101">
        <f t="shared" si="277"/>
        <v>0</v>
      </c>
      <c r="Z181" s="100">
        <v>0</v>
      </c>
      <c r="AA181" s="101">
        <f t="shared" si="266"/>
        <v>5.5084745762711869</v>
      </c>
      <c r="AB181" s="101">
        <v>6.5</v>
      </c>
      <c r="AC181" s="101">
        <f t="shared" si="278"/>
        <v>0</v>
      </c>
      <c r="AD181" s="101">
        <v>0</v>
      </c>
      <c r="AE181" s="101"/>
      <c r="AF181" s="101"/>
      <c r="AG181" s="101">
        <f t="shared" si="279"/>
        <v>0</v>
      </c>
      <c r="AH181" s="102">
        <v>0</v>
      </c>
      <c r="AI181" s="101">
        <f t="shared" si="267"/>
        <v>7.6271186440677967</v>
      </c>
      <c r="AJ181" s="110">
        <v>9</v>
      </c>
      <c r="AK181" s="101">
        <f t="shared" si="280"/>
        <v>0</v>
      </c>
      <c r="AL181" s="102">
        <v>0</v>
      </c>
      <c r="AM181" s="101">
        <f t="shared" si="281"/>
        <v>11.864406779661017</v>
      </c>
      <c r="AN181" s="101">
        <v>14</v>
      </c>
      <c r="AO181" s="101">
        <f t="shared" si="282"/>
        <v>0</v>
      </c>
      <c r="AP181" s="101">
        <f t="shared" si="261"/>
        <v>72.033898305084747</v>
      </c>
      <c r="AQ181" s="101">
        <f t="shared" si="283"/>
        <v>85</v>
      </c>
      <c r="AR181" s="102">
        <v>0</v>
      </c>
      <c r="AS181" s="101" t="s">
        <v>270</v>
      </c>
      <c r="AT181" s="103">
        <v>0</v>
      </c>
      <c r="AU181" s="103">
        <f t="shared" si="284"/>
        <v>5.0847457627118651</v>
      </c>
      <c r="AV181" s="103">
        <v>6</v>
      </c>
      <c r="AW181" s="103">
        <f t="shared" si="285"/>
        <v>0</v>
      </c>
      <c r="AX181" s="103">
        <f t="shared" si="286"/>
        <v>0</v>
      </c>
      <c r="AY181" s="104">
        <f t="shared" si="260"/>
        <v>72.033898305084747</v>
      </c>
      <c r="AZ181" s="105">
        <f t="shared" si="260"/>
        <v>85</v>
      </c>
      <c r="BA181" s="9"/>
      <c r="BB181" s="9"/>
      <c r="BC181" s="9"/>
      <c r="BD181" s="9"/>
      <c r="BE181" s="43"/>
      <c r="BF181" s="43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</row>
    <row r="182" spans="1:93" s="4" customFormat="1" ht="183" outlineLevel="1" x14ac:dyDescent="0.25">
      <c r="A182" s="97">
        <f t="shared" si="287"/>
        <v>141</v>
      </c>
      <c r="B182" s="98" t="s">
        <v>255</v>
      </c>
      <c r="C182" s="125" t="s">
        <v>258</v>
      </c>
      <c r="D182" s="99"/>
      <c r="E182" s="100">
        <f t="shared" si="269"/>
        <v>22</v>
      </c>
      <c r="F182" s="101">
        <v>0</v>
      </c>
      <c r="G182" s="101">
        <v>0</v>
      </c>
      <c r="H182" s="101">
        <v>0</v>
      </c>
      <c r="I182" s="101">
        <f t="shared" si="270"/>
        <v>0</v>
      </c>
      <c r="J182" s="100">
        <v>0</v>
      </c>
      <c r="K182" s="101">
        <f t="shared" si="264"/>
        <v>11.864406779661017</v>
      </c>
      <c r="L182" s="101">
        <v>14</v>
      </c>
      <c r="M182" s="101">
        <f t="shared" si="271"/>
        <v>0</v>
      </c>
      <c r="N182" s="102">
        <v>22</v>
      </c>
      <c r="O182" s="101">
        <f t="shared" si="272"/>
        <v>4.2372881355932206</v>
      </c>
      <c r="P182" s="101">
        <v>5</v>
      </c>
      <c r="Q182" s="101">
        <f t="shared" si="273"/>
        <v>110</v>
      </c>
      <c r="R182" s="100">
        <v>0</v>
      </c>
      <c r="S182" s="101">
        <f t="shared" si="274"/>
        <v>14.40677966101695</v>
      </c>
      <c r="T182" s="101">
        <v>17</v>
      </c>
      <c r="U182" s="101">
        <f t="shared" si="275"/>
        <v>0</v>
      </c>
      <c r="V182" s="101">
        <v>0</v>
      </c>
      <c r="W182" s="101">
        <f t="shared" si="276"/>
        <v>5.9322033898305087</v>
      </c>
      <c r="X182" s="101">
        <v>7</v>
      </c>
      <c r="Y182" s="101">
        <f t="shared" si="277"/>
        <v>0</v>
      </c>
      <c r="Z182" s="100">
        <v>0</v>
      </c>
      <c r="AA182" s="101">
        <f t="shared" si="266"/>
        <v>5.5084745762711869</v>
      </c>
      <c r="AB182" s="101">
        <v>6.5</v>
      </c>
      <c r="AC182" s="101">
        <f t="shared" si="278"/>
        <v>0</v>
      </c>
      <c r="AD182" s="101">
        <v>0</v>
      </c>
      <c r="AE182" s="101"/>
      <c r="AF182" s="101"/>
      <c r="AG182" s="101">
        <f t="shared" si="279"/>
        <v>0</v>
      </c>
      <c r="AH182" s="102">
        <v>0</v>
      </c>
      <c r="AI182" s="101">
        <f t="shared" si="267"/>
        <v>7.6271186440677967</v>
      </c>
      <c r="AJ182" s="110">
        <v>9</v>
      </c>
      <c r="AK182" s="101">
        <f t="shared" si="280"/>
        <v>0</v>
      </c>
      <c r="AL182" s="102">
        <v>0</v>
      </c>
      <c r="AM182" s="101">
        <f t="shared" si="281"/>
        <v>11.864406779661017</v>
      </c>
      <c r="AN182" s="101">
        <v>14</v>
      </c>
      <c r="AO182" s="101">
        <f t="shared" si="282"/>
        <v>0</v>
      </c>
      <c r="AP182" s="101">
        <f t="shared" si="261"/>
        <v>93.220338983050851</v>
      </c>
      <c r="AQ182" s="101">
        <f t="shared" si="283"/>
        <v>110</v>
      </c>
      <c r="AR182" s="102">
        <v>0</v>
      </c>
      <c r="AS182" s="101" t="s">
        <v>270</v>
      </c>
      <c r="AT182" s="103">
        <v>0</v>
      </c>
      <c r="AU182" s="103">
        <f t="shared" si="284"/>
        <v>5.0847457627118651</v>
      </c>
      <c r="AV182" s="103">
        <v>6</v>
      </c>
      <c r="AW182" s="103">
        <f t="shared" si="285"/>
        <v>0</v>
      </c>
      <c r="AX182" s="103">
        <f t="shared" si="286"/>
        <v>0</v>
      </c>
      <c r="AY182" s="104">
        <f t="shared" si="260"/>
        <v>93.220338983050851</v>
      </c>
      <c r="AZ182" s="105">
        <f t="shared" si="260"/>
        <v>110</v>
      </c>
      <c r="BA182" s="9"/>
      <c r="BB182" s="9"/>
      <c r="BC182" s="9"/>
      <c r="BD182" s="9"/>
      <c r="BE182" s="43"/>
      <c r="BF182" s="43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</row>
    <row r="183" spans="1:93" s="4" customFormat="1" ht="183" outlineLevel="1" x14ac:dyDescent="0.25">
      <c r="A183" s="97">
        <f>A182+1</f>
        <v>142</v>
      </c>
      <c r="B183" s="98" t="s">
        <v>58</v>
      </c>
      <c r="C183" s="125" t="s">
        <v>59</v>
      </c>
      <c r="D183" s="99" t="s">
        <v>19</v>
      </c>
      <c r="E183" s="100">
        <f t="shared" si="269"/>
        <v>327.3</v>
      </c>
      <c r="F183" s="101">
        <v>0</v>
      </c>
      <c r="G183" s="101">
        <v>0</v>
      </c>
      <c r="H183" s="101">
        <v>0</v>
      </c>
      <c r="I183" s="101">
        <f>H183*F183</f>
        <v>0</v>
      </c>
      <c r="J183" s="100">
        <v>327.3</v>
      </c>
      <c r="K183" s="101">
        <f>L183/1.18</f>
        <v>11.864406779661017</v>
      </c>
      <c r="L183" s="101">
        <v>14</v>
      </c>
      <c r="M183" s="101">
        <f>L183*J183</f>
        <v>4582.2</v>
      </c>
      <c r="N183" s="102">
        <v>0</v>
      </c>
      <c r="O183" s="101">
        <f>P183/1.18</f>
        <v>4.2372881355932206</v>
      </c>
      <c r="P183" s="101">
        <v>5</v>
      </c>
      <c r="Q183" s="101">
        <f>P183*N183</f>
        <v>0</v>
      </c>
      <c r="R183" s="100">
        <v>0</v>
      </c>
      <c r="S183" s="101">
        <f>T183/1.18</f>
        <v>14.40677966101695</v>
      </c>
      <c r="T183" s="101">
        <v>17</v>
      </c>
      <c r="U183" s="101">
        <f>T183*R183</f>
        <v>0</v>
      </c>
      <c r="V183" s="101">
        <v>0</v>
      </c>
      <c r="W183" s="101">
        <v>4.2</v>
      </c>
      <c r="X183" s="101">
        <v>7</v>
      </c>
      <c r="Y183" s="101">
        <f>X183*V183</f>
        <v>0</v>
      </c>
      <c r="Z183" s="100">
        <v>0</v>
      </c>
      <c r="AA183" s="101">
        <f>AB183/1.18</f>
        <v>5.5084745762711869</v>
      </c>
      <c r="AB183" s="101">
        <v>6.5</v>
      </c>
      <c r="AC183" s="101">
        <f>AB183*Z183</f>
        <v>0</v>
      </c>
      <c r="AD183" s="101">
        <v>0</v>
      </c>
      <c r="AE183" s="101"/>
      <c r="AF183" s="101"/>
      <c r="AG183" s="101">
        <f>AF183*AD183</f>
        <v>0</v>
      </c>
      <c r="AH183" s="102">
        <v>0</v>
      </c>
      <c r="AI183" s="101">
        <f>AJ183/1.18</f>
        <v>7.6271186440677967</v>
      </c>
      <c r="AJ183" s="110">
        <v>9</v>
      </c>
      <c r="AK183" s="101">
        <f>AJ183*AH183</f>
        <v>0</v>
      </c>
      <c r="AL183" s="102">
        <v>0</v>
      </c>
      <c r="AM183" s="101">
        <f>AN183/1.18</f>
        <v>11.864406779661017</v>
      </c>
      <c r="AN183" s="101">
        <v>14</v>
      </c>
      <c r="AO183" s="101">
        <f>AN183*AL183</f>
        <v>0</v>
      </c>
      <c r="AP183" s="101">
        <f>AQ183/1.18</f>
        <v>3883.2203389830511</v>
      </c>
      <c r="AQ183" s="101">
        <f t="shared" si="283"/>
        <v>4582.2</v>
      </c>
      <c r="AR183" s="102">
        <v>0</v>
      </c>
      <c r="AS183" s="101" t="s">
        <v>270</v>
      </c>
      <c r="AT183" s="103">
        <v>0</v>
      </c>
      <c r="AU183" s="103">
        <f>AV183/1.18</f>
        <v>5.0847457627118651</v>
      </c>
      <c r="AV183" s="103">
        <v>6</v>
      </c>
      <c r="AW183" s="103">
        <f>AU183*AR183</f>
        <v>0</v>
      </c>
      <c r="AX183" s="103">
        <f>AV183*AR183</f>
        <v>0</v>
      </c>
      <c r="AY183" s="104">
        <f>AP183+AW183</f>
        <v>3883.2203389830511</v>
      </c>
      <c r="AZ183" s="105">
        <f>AQ183+AX183</f>
        <v>4582.2</v>
      </c>
      <c r="BA183" s="9"/>
      <c r="BB183" s="9"/>
      <c r="BC183" s="9"/>
      <c r="BD183" s="9"/>
      <c r="BE183" s="43"/>
      <c r="BF183" s="43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</row>
    <row r="184" spans="1:93" s="4" customFormat="1" ht="320.25" outlineLevel="1" x14ac:dyDescent="0.25">
      <c r="A184" s="97">
        <f>A183+1</f>
        <v>143</v>
      </c>
      <c r="B184" s="98" t="s">
        <v>251</v>
      </c>
      <c r="C184" s="125" t="s">
        <v>202</v>
      </c>
      <c r="D184" s="99" t="s">
        <v>19</v>
      </c>
      <c r="E184" s="100">
        <f t="shared" si="269"/>
        <v>889</v>
      </c>
      <c r="F184" s="101">
        <v>0</v>
      </c>
      <c r="G184" s="101">
        <v>0</v>
      </c>
      <c r="H184" s="101">
        <v>0</v>
      </c>
      <c r="I184" s="101">
        <f t="shared" si="270"/>
        <v>0</v>
      </c>
      <c r="J184" s="100">
        <v>41.6</v>
      </c>
      <c r="K184" s="101">
        <f t="shared" si="264"/>
        <v>11.864406779661017</v>
      </c>
      <c r="L184" s="101">
        <v>14</v>
      </c>
      <c r="M184" s="101">
        <f t="shared" si="271"/>
        <v>582.4</v>
      </c>
      <c r="N184" s="102">
        <v>581</v>
      </c>
      <c r="O184" s="101">
        <f t="shared" si="272"/>
        <v>4.2372881355932206</v>
      </c>
      <c r="P184" s="101">
        <v>5</v>
      </c>
      <c r="Q184" s="101">
        <f t="shared" si="273"/>
        <v>2905</v>
      </c>
      <c r="R184" s="100">
        <v>0</v>
      </c>
      <c r="S184" s="101">
        <f t="shared" si="274"/>
        <v>14.40677966101695</v>
      </c>
      <c r="T184" s="101">
        <v>17</v>
      </c>
      <c r="U184" s="101">
        <f t="shared" si="275"/>
        <v>0</v>
      </c>
      <c r="V184" s="101">
        <v>83.3</v>
      </c>
      <c r="W184" s="101">
        <f t="shared" ref="W184:W186" si="288">X184/1.18</f>
        <v>5.9322033898305087</v>
      </c>
      <c r="X184" s="101">
        <v>7</v>
      </c>
      <c r="Y184" s="101">
        <f t="shared" si="277"/>
        <v>583.1</v>
      </c>
      <c r="Z184" s="100">
        <v>154.30000000000001</v>
      </c>
      <c r="AA184" s="101">
        <f t="shared" si="266"/>
        <v>5.5084745762711869</v>
      </c>
      <c r="AB184" s="101">
        <v>6.5</v>
      </c>
      <c r="AC184" s="101">
        <f t="shared" si="278"/>
        <v>1002.95</v>
      </c>
      <c r="AD184" s="101">
        <v>0</v>
      </c>
      <c r="AE184" s="101"/>
      <c r="AF184" s="101"/>
      <c r="AG184" s="101">
        <f t="shared" si="279"/>
        <v>0</v>
      </c>
      <c r="AH184" s="102">
        <v>27.3</v>
      </c>
      <c r="AI184" s="101">
        <f t="shared" si="267"/>
        <v>7.6271186440677967</v>
      </c>
      <c r="AJ184" s="110">
        <v>9</v>
      </c>
      <c r="AK184" s="101">
        <f t="shared" si="280"/>
        <v>245.70000000000002</v>
      </c>
      <c r="AL184" s="102">
        <v>1.5</v>
      </c>
      <c r="AM184" s="101">
        <f t="shared" si="281"/>
        <v>11.864406779661017</v>
      </c>
      <c r="AN184" s="101">
        <v>14</v>
      </c>
      <c r="AO184" s="101">
        <f t="shared" si="282"/>
        <v>21</v>
      </c>
      <c r="AP184" s="101">
        <f t="shared" si="261"/>
        <v>4525.5508474576272</v>
      </c>
      <c r="AQ184" s="101">
        <f t="shared" si="283"/>
        <v>5340.15</v>
      </c>
      <c r="AR184" s="102">
        <v>0</v>
      </c>
      <c r="AS184" s="101" t="s">
        <v>270</v>
      </c>
      <c r="AT184" s="103">
        <v>0</v>
      </c>
      <c r="AU184" s="103">
        <f t="shared" si="284"/>
        <v>5.0847457627118651</v>
      </c>
      <c r="AV184" s="103">
        <v>6</v>
      </c>
      <c r="AW184" s="103">
        <f t="shared" si="285"/>
        <v>0</v>
      </c>
      <c r="AX184" s="103">
        <f t="shared" ref="AX184:AX217" si="289">AV184*AR184</f>
        <v>0</v>
      </c>
      <c r="AY184" s="104">
        <f t="shared" si="260"/>
        <v>4525.5508474576272</v>
      </c>
      <c r="AZ184" s="105">
        <f t="shared" si="260"/>
        <v>5340.15</v>
      </c>
      <c r="BA184" s="9"/>
      <c r="BB184" s="9"/>
      <c r="BC184" s="9"/>
      <c r="BD184" s="9"/>
      <c r="BE184" s="43"/>
      <c r="BF184" s="43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</row>
    <row r="185" spans="1:93" s="4" customFormat="1" ht="228.75" outlineLevel="1" x14ac:dyDescent="0.25">
      <c r="A185" s="97">
        <f>A184+1</f>
        <v>144</v>
      </c>
      <c r="B185" s="98" t="s">
        <v>251</v>
      </c>
      <c r="C185" s="125" t="s">
        <v>203</v>
      </c>
      <c r="D185" s="99" t="s">
        <v>19</v>
      </c>
      <c r="E185" s="100">
        <f t="shared" si="269"/>
        <v>1064.5000000000002</v>
      </c>
      <c r="F185" s="101">
        <v>0</v>
      </c>
      <c r="G185" s="101">
        <v>0</v>
      </c>
      <c r="H185" s="101">
        <v>0</v>
      </c>
      <c r="I185" s="101">
        <f t="shared" si="270"/>
        <v>0</v>
      </c>
      <c r="J185" s="100">
        <v>72.7</v>
      </c>
      <c r="K185" s="101">
        <f t="shared" si="264"/>
        <v>11.864406779661017</v>
      </c>
      <c r="L185" s="101">
        <v>14</v>
      </c>
      <c r="M185" s="101">
        <f t="shared" si="271"/>
        <v>1017.8000000000001</v>
      </c>
      <c r="N185" s="102">
        <f>686</f>
        <v>686</v>
      </c>
      <c r="O185" s="101">
        <f t="shared" si="272"/>
        <v>4.2372881355932206</v>
      </c>
      <c r="P185" s="101">
        <v>5</v>
      </c>
      <c r="Q185" s="101">
        <f t="shared" si="273"/>
        <v>3430</v>
      </c>
      <c r="R185" s="100">
        <v>0</v>
      </c>
      <c r="S185" s="101">
        <f t="shared" si="274"/>
        <v>14.40677966101695</v>
      </c>
      <c r="T185" s="101">
        <v>17</v>
      </c>
      <c r="U185" s="101">
        <f t="shared" si="275"/>
        <v>0</v>
      </c>
      <c r="V185" s="101">
        <v>60</v>
      </c>
      <c r="W185" s="101">
        <f t="shared" si="288"/>
        <v>5.9322033898305087</v>
      </c>
      <c r="X185" s="101">
        <v>7</v>
      </c>
      <c r="Y185" s="101">
        <f t="shared" si="277"/>
        <v>420</v>
      </c>
      <c r="Z185" s="100">
        <v>164</v>
      </c>
      <c r="AA185" s="101">
        <f t="shared" si="266"/>
        <v>5.5084745762711869</v>
      </c>
      <c r="AB185" s="101">
        <v>6.5</v>
      </c>
      <c r="AC185" s="101">
        <f t="shared" si="278"/>
        <v>1066</v>
      </c>
      <c r="AD185" s="101">
        <v>0</v>
      </c>
      <c r="AE185" s="101"/>
      <c r="AF185" s="101"/>
      <c r="AG185" s="101">
        <f t="shared" si="279"/>
        <v>0</v>
      </c>
      <c r="AH185" s="102">
        <f>44+14.4</f>
        <v>58.4</v>
      </c>
      <c r="AI185" s="101">
        <f t="shared" si="267"/>
        <v>7.6271186440677967</v>
      </c>
      <c r="AJ185" s="110">
        <v>9</v>
      </c>
      <c r="AK185" s="101">
        <f t="shared" si="280"/>
        <v>525.6</v>
      </c>
      <c r="AL185" s="102">
        <f>13.8+6.8+2.8</f>
        <v>23.400000000000002</v>
      </c>
      <c r="AM185" s="101">
        <f t="shared" si="281"/>
        <v>11.864406779661017</v>
      </c>
      <c r="AN185" s="101">
        <v>14</v>
      </c>
      <c r="AO185" s="101">
        <f t="shared" si="282"/>
        <v>327.60000000000002</v>
      </c>
      <c r="AP185" s="101">
        <f t="shared" si="261"/>
        <v>5751.6949152542384</v>
      </c>
      <c r="AQ185" s="101">
        <f t="shared" si="283"/>
        <v>6787.0000000000009</v>
      </c>
      <c r="AR185" s="102">
        <v>0</v>
      </c>
      <c r="AS185" s="101" t="s">
        <v>270</v>
      </c>
      <c r="AT185" s="103">
        <v>0</v>
      </c>
      <c r="AU185" s="103">
        <f t="shared" si="284"/>
        <v>5.0847457627118651</v>
      </c>
      <c r="AV185" s="103">
        <v>6</v>
      </c>
      <c r="AW185" s="103">
        <f t="shared" si="285"/>
        <v>0</v>
      </c>
      <c r="AX185" s="103">
        <f t="shared" si="289"/>
        <v>0</v>
      </c>
      <c r="AY185" s="104">
        <f t="shared" si="260"/>
        <v>5751.6949152542384</v>
      </c>
      <c r="AZ185" s="105">
        <f t="shared" si="260"/>
        <v>6787.0000000000009</v>
      </c>
      <c r="BA185" s="9"/>
      <c r="BB185" s="9"/>
      <c r="BC185" s="9"/>
      <c r="BD185" s="9"/>
      <c r="BE185" s="43"/>
      <c r="BF185" s="43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</row>
    <row r="186" spans="1:93" s="4" customFormat="1" ht="274.5" outlineLevel="1" x14ac:dyDescent="0.25">
      <c r="A186" s="97">
        <f t="shared" ref="A186:A193" si="290">A185+1</f>
        <v>145</v>
      </c>
      <c r="B186" s="98" t="s">
        <v>251</v>
      </c>
      <c r="C186" s="125" t="s">
        <v>204</v>
      </c>
      <c r="D186" s="99" t="s">
        <v>19</v>
      </c>
      <c r="E186" s="100">
        <f t="shared" si="269"/>
        <v>1212.5999999999999</v>
      </c>
      <c r="F186" s="101">
        <v>0</v>
      </c>
      <c r="G186" s="101">
        <v>0</v>
      </c>
      <c r="H186" s="101">
        <v>0</v>
      </c>
      <c r="I186" s="101">
        <f t="shared" si="270"/>
        <v>0</v>
      </c>
      <c r="J186" s="100">
        <f>50.8+90</f>
        <v>140.80000000000001</v>
      </c>
      <c r="K186" s="101">
        <f t="shared" si="264"/>
        <v>11.864406779661017</v>
      </c>
      <c r="L186" s="101">
        <v>14</v>
      </c>
      <c r="M186" s="101">
        <f t="shared" si="271"/>
        <v>1971.2000000000003</v>
      </c>
      <c r="N186" s="102">
        <f>388+38.5+430+12</f>
        <v>868.5</v>
      </c>
      <c r="O186" s="101">
        <f t="shared" si="272"/>
        <v>4.2372881355932206</v>
      </c>
      <c r="P186" s="101">
        <v>5</v>
      </c>
      <c r="Q186" s="101">
        <f t="shared" si="273"/>
        <v>4342.5</v>
      </c>
      <c r="R186" s="100">
        <v>0</v>
      </c>
      <c r="S186" s="101">
        <f t="shared" si="274"/>
        <v>14.40677966101695</v>
      </c>
      <c r="T186" s="101">
        <v>17</v>
      </c>
      <c r="U186" s="101">
        <f t="shared" si="275"/>
        <v>0</v>
      </c>
      <c r="V186" s="101">
        <f>10+30</f>
        <v>40</v>
      </c>
      <c r="W186" s="101">
        <f t="shared" si="288"/>
        <v>5.9322033898305087</v>
      </c>
      <c r="X186" s="101">
        <v>7</v>
      </c>
      <c r="Y186" s="101">
        <f t="shared" si="277"/>
        <v>280</v>
      </c>
      <c r="Z186" s="100">
        <f>28+10.8+63+3.5+50</f>
        <v>155.30000000000001</v>
      </c>
      <c r="AA186" s="101">
        <f t="shared" si="266"/>
        <v>5.5084745762711869</v>
      </c>
      <c r="AB186" s="101">
        <v>6.5</v>
      </c>
      <c r="AC186" s="101">
        <f t="shared" si="278"/>
        <v>1009.45</v>
      </c>
      <c r="AD186" s="101">
        <v>0</v>
      </c>
      <c r="AE186" s="101"/>
      <c r="AF186" s="101"/>
      <c r="AG186" s="101">
        <f t="shared" si="279"/>
        <v>0</v>
      </c>
      <c r="AH186" s="102">
        <v>0</v>
      </c>
      <c r="AI186" s="101">
        <f t="shared" si="267"/>
        <v>7.6271186440677967</v>
      </c>
      <c r="AJ186" s="110">
        <v>9</v>
      </c>
      <c r="AK186" s="101">
        <f t="shared" si="280"/>
        <v>0</v>
      </c>
      <c r="AL186" s="102">
        <v>8</v>
      </c>
      <c r="AM186" s="101">
        <f t="shared" si="281"/>
        <v>11.864406779661017</v>
      </c>
      <c r="AN186" s="101">
        <v>14</v>
      </c>
      <c r="AO186" s="101">
        <f t="shared" si="282"/>
        <v>112</v>
      </c>
      <c r="AP186" s="101">
        <f t="shared" si="261"/>
        <v>6538.2627118644077</v>
      </c>
      <c r="AQ186" s="101">
        <f t="shared" si="283"/>
        <v>7715.1500000000005</v>
      </c>
      <c r="AR186" s="102">
        <v>0</v>
      </c>
      <c r="AS186" s="101" t="s">
        <v>270</v>
      </c>
      <c r="AT186" s="103">
        <v>0</v>
      </c>
      <c r="AU186" s="103">
        <f t="shared" si="284"/>
        <v>5.0847457627118651</v>
      </c>
      <c r="AV186" s="103">
        <v>6</v>
      </c>
      <c r="AW186" s="103">
        <f t="shared" si="285"/>
        <v>0</v>
      </c>
      <c r="AX186" s="103">
        <f t="shared" si="289"/>
        <v>0</v>
      </c>
      <c r="AY186" s="104">
        <f t="shared" si="260"/>
        <v>6538.2627118644077</v>
      </c>
      <c r="AZ186" s="105">
        <f t="shared" si="260"/>
        <v>7715.1500000000005</v>
      </c>
      <c r="BA186" s="9"/>
      <c r="BB186" s="9"/>
      <c r="BC186" s="9"/>
      <c r="BD186" s="9"/>
      <c r="BE186" s="43"/>
      <c r="BF186" s="43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</row>
    <row r="187" spans="1:93" s="4" customFormat="1" ht="228.75" outlineLevel="1" x14ac:dyDescent="0.25">
      <c r="A187" s="97">
        <f t="shared" si="290"/>
        <v>146</v>
      </c>
      <c r="B187" s="98" t="s">
        <v>251</v>
      </c>
      <c r="C187" s="125" t="s">
        <v>205</v>
      </c>
      <c r="D187" s="99" t="s">
        <v>19</v>
      </c>
      <c r="E187" s="100">
        <f t="shared" si="269"/>
        <v>622.09999999999991</v>
      </c>
      <c r="F187" s="101">
        <v>0</v>
      </c>
      <c r="G187" s="101">
        <v>0</v>
      </c>
      <c r="H187" s="101">
        <v>0</v>
      </c>
      <c r="I187" s="101">
        <f t="shared" si="270"/>
        <v>0</v>
      </c>
      <c r="J187" s="100">
        <v>41.2</v>
      </c>
      <c r="K187" s="101">
        <f t="shared" si="264"/>
        <v>11.864406779661017</v>
      </c>
      <c r="L187" s="101">
        <v>14</v>
      </c>
      <c r="M187" s="101">
        <f t="shared" si="271"/>
        <v>576.80000000000007</v>
      </c>
      <c r="N187" s="102">
        <v>407.2</v>
      </c>
      <c r="O187" s="101">
        <f t="shared" si="272"/>
        <v>4.2372881355932206</v>
      </c>
      <c r="P187" s="101">
        <v>5</v>
      </c>
      <c r="Q187" s="101">
        <f t="shared" si="273"/>
        <v>2036</v>
      </c>
      <c r="R187" s="100">
        <v>0</v>
      </c>
      <c r="S187" s="101">
        <f t="shared" si="274"/>
        <v>14.40677966101695</v>
      </c>
      <c r="T187" s="101">
        <v>17</v>
      </c>
      <c r="U187" s="101">
        <f t="shared" si="275"/>
        <v>0</v>
      </c>
      <c r="V187" s="101">
        <v>33.9</v>
      </c>
      <c r="W187" s="101">
        <v>4.2</v>
      </c>
      <c r="X187" s="101">
        <v>7</v>
      </c>
      <c r="Y187" s="101">
        <f t="shared" si="277"/>
        <v>237.29999999999998</v>
      </c>
      <c r="Z187" s="100">
        <v>125.1</v>
      </c>
      <c r="AA187" s="101">
        <f t="shared" si="266"/>
        <v>5.5084745762711869</v>
      </c>
      <c r="AB187" s="101">
        <v>6.5</v>
      </c>
      <c r="AC187" s="101">
        <f t="shared" si="278"/>
        <v>813.15</v>
      </c>
      <c r="AD187" s="101">
        <v>0</v>
      </c>
      <c r="AE187" s="101"/>
      <c r="AF187" s="101"/>
      <c r="AG187" s="101">
        <f t="shared" si="279"/>
        <v>0</v>
      </c>
      <c r="AH187" s="102">
        <v>11.3</v>
      </c>
      <c r="AI187" s="101">
        <f t="shared" si="267"/>
        <v>7.6271186440677967</v>
      </c>
      <c r="AJ187" s="110">
        <v>9</v>
      </c>
      <c r="AK187" s="101">
        <f t="shared" si="280"/>
        <v>101.7</v>
      </c>
      <c r="AL187" s="102">
        <v>3.4</v>
      </c>
      <c r="AM187" s="101">
        <f t="shared" si="281"/>
        <v>11.864406779661017</v>
      </c>
      <c r="AN187" s="101">
        <v>14</v>
      </c>
      <c r="AO187" s="101">
        <f t="shared" si="282"/>
        <v>47.6</v>
      </c>
      <c r="AP187" s="101">
        <f t="shared" si="261"/>
        <v>3230.9745762711868</v>
      </c>
      <c r="AQ187" s="101">
        <f t="shared" si="283"/>
        <v>3812.55</v>
      </c>
      <c r="AR187" s="102">
        <v>0</v>
      </c>
      <c r="AS187" s="101" t="s">
        <v>270</v>
      </c>
      <c r="AT187" s="103">
        <v>0</v>
      </c>
      <c r="AU187" s="103">
        <f t="shared" si="284"/>
        <v>5.0847457627118651</v>
      </c>
      <c r="AV187" s="103">
        <v>6</v>
      </c>
      <c r="AW187" s="103">
        <f t="shared" si="285"/>
        <v>0</v>
      </c>
      <c r="AX187" s="103">
        <f t="shared" si="289"/>
        <v>0</v>
      </c>
      <c r="AY187" s="104">
        <f t="shared" si="260"/>
        <v>3230.9745762711868</v>
      </c>
      <c r="AZ187" s="105">
        <f t="shared" si="260"/>
        <v>3812.55</v>
      </c>
      <c r="BA187" s="9"/>
      <c r="BB187" s="9"/>
      <c r="BC187" s="9"/>
      <c r="BD187" s="9"/>
      <c r="BE187" s="43"/>
      <c r="BF187" s="43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</row>
    <row r="188" spans="1:93" s="4" customFormat="1" ht="274.5" outlineLevel="1" x14ac:dyDescent="0.25">
      <c r="A188" s="97">
        <f t="shared" si="290"/>
        <v>147</v>
      </c>
      <c r="B188" s="98" t="s">
        <v>251</v>
      </c>
      <c r="C188" s="125" t="s">
        <v>250</v>
      </c>
      <c r="D188" s="99" t="s">
        <v>19</v>
      </c>
      <c r="E188" s="100">
        <f t="shared" si="269"/>
        <v>643.9</v>
      </c>
      <c r="F188" s="101">
        <v>0</v>
      </c>
      <c r="G188" s="101">
        <v>0</v>
      </c>
      <c r="H188" s="101">
        <v>0</v>
      </c>
      <c r="I188" s="101">
        <f t="shared" si="270"/>
        <v>0</v>
      </c>
      <c r="J188" s="100">
        <v>17.600000000000001</v>
      </c>
      <c r="K188" s="101">
        <f t="shared" si="264"/>
        <v>11.864406779661017</v>
      </c>
      <c r="L188" s="101">
        <v>14</v>
      </c>
      <c r="M188" s="101">
        <f t="shared" si="271"/>
        <v>246.40000000000003</v>
      </c>
      <c r="N188" s="102">
        <f>512.3-97.6</f>
        <v>414.69999999999993</v>
      </c>
      <c r="O188" s="101">
        <f t="shared" si="272"/>
        <v>4.2372881355932206</v>
      </c>
      <c r="P188" s="101">
        <v>5</v>
      </c>
      <c r="Q188" s="101">
        <f t="shared" si="273"/>
        <v>2073.4999999999995</v>
      </c>
      <c r="R188" s="100">
        <v>0</v>
      </c>
      <c r="S188" s="101">
        <f t="shared" si="274"/>
        <v>14.40677966101695</v>
      </c>
      <c r="T188" s="101">
        <v>17</v>
      </c>
      <c r="U188" s="101">
        <f t="shared" si="275"/>
        <v>0</v>
      </c>
      <c r="V188" s="101">
        <v>53.2</v>
      </c>
      <c r="W188" s="101">
        <f t="shared" ref="W188:W190" si="291">X188/1.18</f>
        <v>5.9322033898305087</v>
      </c>
      <c r="X188" s="101">
        <v>7</v>
      </c>
      <c r="Y188" s="101">
        <f t="shared" si="277"/>
        <v>372.40000000000003</v>
      </c>
      <c r="Z188" s="100">
        <v>152.19999999999999</v>
      </c>
      <c r="AA188" s="101">
        <f t="shared" si="266"/>
        <v>5.5084745762711869</v>
      </c>
      <c r="AB188" s="101">
        <v>6.5</v>
      </c>
      <c r="AC188" s="101">
        <f t="shared" si="278"/>
        <v>989.3</v>
      </c>
      <c r="AD188" s="101">
        <v>0</v>
      </c>
      <c r="AE188" s="101"/>
      <c r="AF188" s="101"/>
      <c r="AG188" s="101">
        <f t="shared" si="279"/>
        <v>0</v>
      </c>
      <c r="AH188" s="102">
        <v>0</v>
      </c>
      <c r="AI188" s="101">
        <f t="shared" si="267"/>
        <v>7.6271186440677967</v>
      </c>
      <c r="AJ188" s="110">
        <v>9</v>
      </c>
      <c r="AK188" s="101">
        <f t="shared" si="280"/>
        <v>0</v>
      </c>
      <c r="AL188" s="102">
        <v>6.2</v>
      </c>
      <c r="AM188" s="101">
        <f t="shared" si="281"/>
        <v>11.864406779661017</v>
      </c>
      <c r="AN188" s="101">
        <v>14</v>
      </c>
      <c r="AO188" s="101">
        <f t="shared" si="282"/>
        <v>86.8</v>
      </c>
      <c r="AP188" s="101">
        <f t="shared" si="261"/>
        <v>3193.5593220338983</v>
      </c>
      <c r="AQ188" s="101">
        <f t="shared" si="283"/>
        <v>3768.3999999999996</v>
      </c>
      <c r="AR188" s="102">
        <v>0</v>
      </c>
      <c r="AS188" s="101" t="s">
        <v>270</v>
      </c>
      <c r="AT188" s="103">
        <v>0</v>
      </c>
      <c r="AU188" s="103">
        <f t="shared" si="284"/>
        <v>5.0847457627118651</v>
      </c>
      <c r="AV188" s="103">
        <v>6</v>
      </c>
      <c r="AW188" s="103">
        <f t="shared" si="285"/>
        <v>0</v>
      </c>
      <c r="AX188" s="103">
        <f t="shared" si="289"/>
        <v>0</v>
      </c>
      <c r="AY188" s="104">
        <f t="shared" si="260"/>
        <v>3193.5593220338983</v>
      </c>
      <c r="AZ188" s="105">
        <f t="shared" si="260"/>
        <v>3768.3999999999996</v>
      </c>
      <c r="BA188" s="9"/>
      <c r="BB188" s="9"/>
      <c r="BC188" s="9"/>
      <c r="BD188" s="9"/>
      <c r="BE188" s="43"/>
      <c r="BF188" s="43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</row>
    <row r="189" spans="1:93" s="4" customFormat="1" ht="320.25" outlineLevel="1" x14ac:dyDescent="0.25">
      <c r="A189" s="97">
        <f t="shared" si="290"/>
        <v>148</v>
      </c>
      <c r="B189" s="98" t="s">
        <v>251</v>
      </c>
      <c r="C189" s="125" t="s">
        <v>206</v>
      </c>
      <c r="D189" s="99" t="s">
        <v>19</v>
      </c>
      <c r="E189" s="100">
        <f t="shared" si="269"/>
        <v>860.7</v>
      </c>
      <c r="F189" s="101">
        <v>0</v>
      </c>
      <c r="G189" s="101">
        <v>0</v>
      </c>
      <c r="H189" s="101">
        <v>0</v>
      </c>
      <c r="I189" s="101">
        <f t="shared" si="270"/>
        <v>0</v>
      </c>
      <c r="J189" s="100">
        <v>23.9</v>
      </c>
      <c r="K189" s="101">
        <f t="shared" si="264"/>
        <v>11.864406779661017</v>
      </c>
      <c r="L189" s="101">
        <v>14</v>
      </c>
      <c r="M189" s="101">
        <f t="shared" si="271"/>
        <v>334.59999999999997</v>
      </c>
      <c r="N189" s="102">
        <f>570-11.6</f>
        <v>558.4</v>
      </c>
      <c r="O189" s="101">
        <f t="shared" si="272"/>
        <v>4.2372881355932206</v>
      </c>
      <c r="P189" s="101">
        <v>5</v>
      </c>
      <c r="Q189" s="101">
        <f t="shared" si="273"/>
        <v>2792</v>
      </c>
      <c r="R189" s="100">
        <v>0</v>
      </c>
      <c r="S189" s="101">
        <f t="shared" si="274"/>
        <v>14.40677966101695</v>
      </c>
      <c r="T189" s="101">
        <v>17</v>
      </c>
      <c r="U189" s="101">
        <f t="shared" si="275"/>
        <v>0</v>
      </c>
      <c r="V189" s="101">
        <f>74+13.7</f>
        <v>87.7</v>
      </c>
      <c r="W189" s="101">
        <f t="shared" si="291"/>
        <v>5.9322033898305087</v>
      </c>
      <c r="X189" s="101">
        <v>7</v>
      </c>
      <c r="Y189" s="101">
        <f t="shared" si="277"/>
        <v>613.9</v>
      </c>
      <c r="Z189" s="100">
        <v>128.19999999999999</v>
      </c>
      <c r="AA189" s="101">
        <f t="shared" si="266"/>
        <v>5.5084745762711869</v>
      </c>
      <c r="AB189" s="101">
        <v>6.5</v>
      </c>
      <c r="AC189" s="101">
        <f t="shared" si="278"/>
        <v>833.3</v>
      </c>
      <c r="AD189" s="101">
        <v>0</v>
      </c>
      <c r="AE189" s="101"/>
      <c r="AF189" s="101"/>
      <c r="AG189" s="101">
        <f t="shared" si="279"/>
        <v>0</v>
      </c>
      <c r="AH189" s="102">
        <v>58.2</v>
      </c>
      <c r="AI189" s="101">
        <f t="shared" si="267"/>
        <v>7.6271186440677967</v>
      </c>
      <c r="AJ189" s="110">
        <v>9</v>
      </c>
      <c r="AK189" s="101">
        <f t="shared" si="280"/>
        <v>523.80000000000007</v>
      </c>
      <c r="AL189" s="102">
        <v>4.3</v>
      </c>
      <c r="AM189" s="101">
        <f t="shared" si="281"/>
        <v>11.864406779661017</v>
      </c>
      <c r="AN189" s="101">
        <v>14</v>
      </c>
      <c r="AO189" s="101">
        <f t="shared" si="282"/>
        <v>60.199999999999996</v>
      </c>
      <c r="AP189" s="101">
        <f t="shared" si="261"/>
        <v>4371.016949152543</v>
      </c>
      <c r="AQ189" s="101">
        <f t="shared" si="283"/>
        <v>5157.8</v>
      </c>
      <c r="AR189" s="102">
        <v>0</v>
      </c>
      <c r="AS189" s="101" t="s">
        <v>270</v>
      </c>
      <c r="AT189" s="103">
        <v>0</v>
      </c>
      <c r="AU189" s="103">
        <f t="shared" si="284"/>
        <v>5.0847457627118651</v>
      </c>
      <c r="AV189" s="103">
        <v>6</v>
      </c>
      <c r="AW189" s="103">
        <f t="shared" si="285"/>
        <v>0</v>
      </c>
      <c r="AX189" s="103">
        <f t="shared" si="289"/>
        <v>0</v>
      </c>
      <c r="AY189" s="104">
        <f t="shared" si="260"/>
        <v>4371.016949152543</v>
      </c>
      <c r="AZ189" s="105">
        <f t="shared" si="260"/>
        <v>5157.8</v>
      </c>
      <c r="BA189" s="9"/>
      <c r="BB189" s="9"/>
      <c r="BC189" s="9"/>
      <c r="BD189" s="9"/>
      <c r="BE189" s="43"/>
      <c r="BF189" s="43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</row>
    <row r="190" spans="1:93" s="4" customFormat="1" ht="274.5" outlineLevel="1" x14ac:dyDescent="0.25">
      <c r="A190" s="97">
        <f t="shared" si="290"/>
        <v>149</v>
      </c>
      <c r="B190" s="98" t="s">
        <v>251</v>
      </c>
      <c r="C190" s="125" t="s">
        <v>207</v>
      </c>
      <c r="D190" s="99" t="s">
        <v>19</v>
      </c>
      <c r="E190" s="100">
        <f t="shared" si="269"/>
        <v>817.99</v>
      </c>
      <c r="F190" s="101">
        <v>0</v>
      </c>
      <c r="G190" s="101">
        <v>0</v>
      </c>
      <c r="H190" s="101">
        <v>0</v>
      </c>
      <c r="I190" s="101">
        <f t="shared" si="270"/>
        <v>0</v>
      </c>
      <c r="J190" s="100">
        <f>20.58+56.5</f>
        <v>77.08</v>
      </c>
      <c r="K190" s="101">
        <f t="shared" si="264"/>
        <v>11.864406779661017</v>
      </c>
      <c r="L190" s="101">
        <v>14</v>
      </c>
      <c r="M190" s="101">
        <f t="shared" si="271"/>
        <v>1079.1199999999999</v>
      </c>
      <c r="N190" s="102">
        <f>566.8-11.6</f>
        <v>555.19999999999993</v>
      </c>
      <c r="O190" s="101">
        <f t="shared" si="272"/>
        <v>4.2372881355932206</v>
      </c>
      <c r="P190" s="101">
        <v>5</v>
      </c>
      <c r="Q190" s="101">
        <f t="shared" si="273"/>
        <v>2775.9999999999995</v>
      </c>
      <c r="R190" s="100">
        <v>0</v>
      </c>
      <c r="S190" s="101">
        <f t="shared" si="274"/>
        <v>14.40677966101695</v>
      </c>
      <c r="T190" s="101">
        <v>17</v>
      </c>
      <c r="U190" s="101">
        <f t="shared" si="275"/>
        <v>0</v>
      </c>
      <c r="V190" s="101">
        <v>53.9</v>
      </c>
      <c r="W190" s="101">
        <f t="shared" si="291"/>
        <v>5.9322033898305087</v>
      </c>
      <c r="X190" s="101">
        <v>7</v>
      </c>
      <c r="Y190" s="101">
        <f t="shared" si="277"/>
        <v>377.3</v>
      </c>
      <c r="Z190" s="100">
        <v>118.11</v>
      </c>
      <c r="AA190" s="101">
        <f t="shared" si="266"/>
        <v>5.5084745762711869</v>
      </c>
      <c r="AB190" s="101">
        <v>6.5</v>
      </c>
      <c r="AC190" s="101">
        <f t="shared" si="278"/>
        <v>767.71500000000003</v>
      </c>
      <c r="AD190" s="101">
        <v>0</v>
      </c>
      <c r="AE190" s="101"/>
      <c r="AF190" s="101"/>
      <c r="AG190" s="101">
        <f t="shared" si="279"/>
        <v>0</v>
      </c>
      <c r="AH190" s="102">
        <v>0</v>
      </c>
      <c r="AI190" s="101">
        <f t="shared" si="267"/>
        <v>7.6271186440677967</v>
      </c>
      <c r="AJ190" s="110">
        <v>9</v>
      </c>
      <c r="AK190" s="101">
        <f t="shared" si="280"/>
        <v>0</v>
      </c>
      <c r="AL190" s="102">
        <v>13.7</v>
      </c>
      <c r="AM190" s="101">
        <f t="shared" si="281"/>
        <v>11.864406779661017</v>
      </c>
      <c r="AN190" s="101">
        <v>14</v>
      </c>
      <c r="AO190" s="101">
        <f t="shared" si="282"/>
        <v>191.79999999999998</v>
      </c>
      <c r="AP190" s="101">
        <f t="shared" si="261"/>
        <v>4399.9449152542375</v>
      </c>
      <c r="AQ190" s="101">
        <f t="shared" si="283"/>
        <v>5191.9349999999995</v>
      </c>
      <c r="AR190" s="102">
        <v>0</v>
      </c>
      <c r="AS190" s="101" t="s">
        <v>270</v>
      </c>
      <c r="AT190" s="103">
        <v>0</v>
      </c>
      <c r="AU190" s="103">
        <f t="shared" si="284"/>
        <v>5.0847457627118651</v>
      </c>
      <c r="AV190" s="103">
        <v>6</v>
      </c>
      <c r="AW190" s="103">
        <f t="shared" si="285"/>
        <v>0</v>
      </c>
      <c r="AX190" s="103">
        <f t="shared" si="289"/>
        <v>0</v>
      </c>
      <c r="AY190" s="104">
        <f t="shared" si="260"/>
        <v>4399.9449152542375</v>
      </c>
      <c r="AZ190" s="105">
        <f t="shared" si="260"/>
        <v>5191.9349999999995</v>
      </c>
      <c r="BA190" s="9"/>
      <c r="BB190" s="9"/>
      <c r="BC190" s="9"/>
      <c r="BD190" s="9"/>
      <c r="BE190" s="43"/>
      <c r="BF190" s="43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</row>
    <row r="191" spans="1:93" s="4" customFormat="1" ht="274.5" outlineLevel="1" x14ac:dyDescent="0.25">
      <c r="A191" s="97">
        <f t="shared" si="290"/>
        <v>150</v>
      </c>
      <c r="B191" s="98" t="s">
        <v>251</v>
      </c>
      <c r="C191" s="125" t="s">
        <v>208</v>
      </c>
      <c r="D191" s="99" t="s">
        <v>19</v>
      </c>
      <c r="E191" s="100">
        <f t="shared" si="269"/>
        <v>655.8</v>
      </c>
      <c r="F191" s="101">
        <v>0</v>
      </c>
      <c r="G191" s="101">
        <v>0</v>
      </c>
      <c r="H191" s="101">
        <v>0</v>
      </c>
      <c r="I191" s="101">
        <f t="shared" si="270"/>
        <v>0</v>
      </c>
      <c r="J191" s="100">
        <f>40.3</f>
        <v>40.299999999999997</v>
      </c>
      <c r="K191" s="101">
        <f t="shared" si="264"/>
        <v>11.864406779661017</v>
      </c>
      <c r="L191" s="101">
        <v>14</v>
      </c>
      <c r="M191" s="101">
        <f t="shared" si="271"/>
        <v>564.19999999999993</v>
      </c>
      <c r="N191" s="102">
        <f>41.1+172.1+28.6+55.8+85.1</f>
        <v>382.69999999999993</v>
      </c>
      <c r="O191" s="101">
        <f t="shared" si="272"/>
        <v>4.2372881355932206</v>
      </c>
      <c r="P191" s="101">
        <v>5</v>
      </c>
      <c r="Q191" s="101">
        <f t="shared" si="273"/>
        <v>1913.4999999999995</v>
      </c>
      <c r="R191" s="100">
        <v>0</v>
      </c>
      <c r="S191" s="101">
        <f t="shared" si="274"/>
        <v>14.40677966101695</v>
      </c>
      <c r="T191" s="101">
        <v>17</v>
      </c>
      <c r="U191" s="101">
        <f t="shared" si="275"/>
        <v>0</v>
      </c>
      <c r="V191" s="101">
        <f>8.5+32.5+35.8+5</f>
        <v>81.8</v>
      </c>
      <c r="W191" s="101">
        <v>4.2</v>
      </c>
      <c r="X191" s="101">
        <v>7</v>
      </c>
      <c r="Y191" s="101">
        <f t="shared" si="277"/>
        <v>572.6</v>
      </c>
      <c r="Z191" s="100">
        <f>21.7+13.9+25.1+4.7+2.8+6.8+19.6+15.4+19.4</f>
        <v>129.4</v>
      </c>
      <c r="AA191" s="101">
        <f t="shared" si="266"/>
        <v>5.5084745762711869</v>
      </c>
      <c r="AB191" s="101">
        <v>6.5</v>
      </c>
      <c r="AC191" s="101">
        <f t="shared" si="278"/>
        <v>841.1</v>
      </c>
      <c r="AD191" s="101">
        <v>0</v>
      </c>
      <c r="AE191" s="101"/>
      <c r="AF191" s="101"/>
      <c r="AG191" s="101">
        <f t="shared" si="279"/>
        <v>0</v>
      </c>
      <c r="AH191" s="102">
        <v>17.600000000000001</v>
      </c>
      <c r="AI191" s="101">
        <f t="shared" si="267"/>
        <v>7.6271186440677967</v>
      </c>
      <c r="AJ191" s="110">
        <v>9</v>
      </c>
      <c r="AK191" s="101">
        <f t="shared" si="280"/>
        <v>158.4</v>
      </c>
      <c r="AL191" s="102">
        <f>4</f>
        <v>4</v>
      </c>
      <c r="AM191" s="101">
        <f t="shared" si="281"/>
        <v>11.864406779661017</v>
      </c>
      <c r="AN191" s="101">
        <v>14</v>
      </c>
      <c r="AO191" s="101">
        <f t="shared" si="282"/>
        <v>56</v>
      </c>
      <c r="AP191" s="101">
        <f t="shared" si="261"/>
        <v>3479.4915254237285</v>
      </c>
      <c r="AQ191" s="101">
        <f t="shared" si="283"/>
        <v>4105.7999999999993</v>
      </c>
      <c r="AR191" s="102">
        <v>0</v>
      </c>
      <c r="AS191" s="101" t="s">
        <v>270</v>
      </c>
      <c r="AT191" s="103">
        <v>0</v>
      </c>
      <c r="AU191" s="103">
        <f t="shared" si="284"/>
        <v>5.0847457627118651</v>
      </c>
      <c r="AV191" s="103">
        <v>6</v>
      </c>
      <c r="AW191" s="103">
        <f t="shared" si="285"/>
        <v>0</v>
      </c>
      <c r="AX191" s="103">
        <f t="shared" si="289"/>
        <v>0</v>
      </c>
      <c r="AY191" s="104">
        <f t="shared" si="260"/>
        <v>3479.4915254237285</v>
      </c>
      <c r="AZ191" s="105">
        <f t="shared" si="260"/>
        <v>4105.7999999999993</v>
      </c>
      <c r="BA191" s="9"/>
      <c r="BB191" s="9"/>
      <c r="BC191" s="9"/>
      <c r="BD191" s="9"/>
      <c r="BE191" s="43"/>
      <c r="BF191" s="43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</row>
    <row r="192" spans="1:93" s="4" customFormat="1" ht="409.5" outlineLevel="1" x14ac:dyDescent="0.25">
      <c r="A192" s="97">
        <f t="shared" si="290"/>
        <v>151</v>
      </c>
      <c r="B192" s="98" t="s">
        <v>251</v>
      </c>
      <c r="C192" s="129" t="s">
        <v>209</v>
      </c>
      <c r="D192" s="122" t="s">
        <v>19</v>
      </c>
      <c r="E192" s="100">
        <f t="shared" si="269"/>
        <v>576.4</v>
      </c>
      <c r="F192" s="114">
        <v>0</v>
      </c>
      <c r="G192" s="101">
        <v>0</v>
      </c>
      <c r="H192" s="101">
        <v>0</v>
      </c>
      <c r="I192" s="114">
        <f t="shared" si="270"/>
        <v>0</v>
      </c>
      <c r="J192" s="115">
        <v>15.5</v>
      </c>
      <c r="K192" s="101">
        <f t="shared" si="264"/>
        <v>11.864406779661017</v>
      </c>
      <c r="L192" s="101">
        <v>14</v>
      </c>
      <c r="M192" s="114">
        <f t="shared" si="271"/>
        <v>217</v>
      </c>
      <c r="N192" s="116">
        <v>376.9</v>
      </c>
      <c r="O192" s="114">
        <f t="shared" si="272"/>
        <v>4.2372881355932206</v>
      </c>
      <c r="P192" s="101">
        <v>5</v>
      </c>
      <c r="Q192" s="114">
        <f t="shared" si="273"/>
        <v>1884.5</v>
      </c>
      <c r="R192" s="115">
        <v>0</v>
      </c>
      <c r="S192" s="114">
        <f t="shared" si="274"/>
        <v>14.40677966101695</v>
      </c>
      <c r="T192" s="101">
        <v>17</v>
      </c>
      <c r="U192" s="114">
        <f t="shared" si="275"/>
        <v>0</v>
      </c>
      <c r="V192" s="114">
        <v>0</v>
      </c>
      <c r="W192" s="101">
        <f t="shared" ref="W192:W193" si="292">X192/1.18</f>
        <v>5.9322033898305087</v>
      </c>
      <c r="X192" s="101">
        <v>7</v>
      </c>
      <c r="Y192" s="114">
        <f t="shared" si="277"/>
        <v>0</v>
      </c>
      <c r="Z192" s="115">
        <v>75.099999999999994</v>
      </c>
      <c r="AA192" s="101">
        <f t="shared" si="266"/>
        <v>5.5084745762711869</v>
      </c>
      <c r="AB192" s="101">
        <v>6.5</v>
      </c>
      <c r="AC192" s="114">
        <f t="shared" si="278"/>
        <v>488.15</v>
      </c>
      <c r="AD192" s="114">
        <v>0</v>
      </c>
      <c r="AE192" s="101"/>
      <c r="AF192" s="101"/>
      <c r="AG192" s="114">
        <f t="shared" si="279"/>
        <v>0</v>
      </c>
      <c r="AH192" s="116">
        <v>103.3</v>
      </c>
      <c r="AI192" s="101">
        <f t="shared" si="267"/>
        <v>7.6271186440677967</v>
      </c>
      <c r="AJ192" s="110">
        <v>9</v>
      </c>
      <c r="AK192" s="114">
        <f t="shared" si="280"/>
        <v>929.69999999999993</v>
      </c>
      <c r="AL192" s="116">
        <v>5.6</v>
      </c>
      <c r="AM192" s="114">
        <f t="shared" si="281"/>
        <v>11.864406779661017</v>
      </c>
      <c r="AN192" s="101">
        <v>14</v>
      </c>
      <c r="AO192" s="114">
        <f t="shared" si="282"/>
        <v>78.399999999999991</v>
      </c>
      <c r="AP192" s="101">
        <f t="shared" si="261"/>
        <v>3048.9406779661017</v>
      </c>
      <c r="AQ192" s="101">
        <f t="shared" si="283"/>
        <v>3597.75</v>
      </c>
      <c r="AR192" s="116">
        <v>0</v>
      </c>
      <c r="AS192" s="101" t="s">
        <v>270</v>
      </c>
      <c r="AT192" s="103">
        <v>0</v>
      </c>
      <c r="AU192" s="103">
        <f t="shared" si="284"/>
        <v>5.0847457627118651</v>
      </c>
      <c r="AV192" s="103">
        <v>6</v>
      </c>
      <c r="AW192" s="113">
        <f t="shared" si="285"/>
        <v>0</v>
      </c>
      <c r="AX192" s="113">
        <f t="shared" si="289"/>
        <v>0</v>
      </c>
      <c r="AY192" s="104">
        <f t="shared" si="260"/>
        <v>3048.9406779661017</v>
      </c>
      <c r="AZ192" s="105">
        <f t="shared" si="260"/>
        <v>3597.75</v>
      </c>
      <c r="BA192" s="9"/>
      <c r="BB192" s="9"/>
      <c r="BC192" s="9"/>
      <c r="BD192" s="9"/>
      <c r="BE192" s="43"/>
      <c r="BF192" s="43"/>
      <c r="BG192" s="40"/>
      <c r="BH192" s="40"/>
      <c r="BI192" s="40"/>
      <c r="BJ192" s="40"/>
      <c r="BK192" s="40"/>
      <c r="BL192" s="40"/>
      <c r="BM192" s="40"/>
      <c r="BN192" s="40"/>
      <c r="BO192" s="40"/>
      <c r="BP192" s="40"/>
      <c r="BQ192" s="40"/>
      <c r="BR192" s="40"/>
      <c r="BS192" s="40"/>
      <c r="BT192" s="40"/>
      <c r="BU192" s="40"/>
      <c r="BV192" s="40"/>
      <c r="BW192" s="40"/>
      <c r="BX192" s="40"/>
      <c r="BY192" s="40"/>
      <c r="BZ192" s="40"/>
      <c r="CA192" s="40"/>
      <c r="CB192" s="40"/>
      <c r="CC192" s="40"/>
      <c r="CD192" s="40"/>
      <c r="CE192" s="40"/>
      <c r="CF192" s="40"/>
      <c r="CG192" s="40"/>
      <c r="CH192" s="40"/>
      <c r="CI192" s="40"/>
      <c r="CJ192" s="40"/>
      <c r="CK192" s="40"/>
      <c r="CL192" s="40"/>
      <c r="CM192" s="40"/>
      <c r="CN192" s="40"/>
      <c r="CO192" s="40"/>
    </row>
    <row r="193" spans="1:93" s="39" customFormat="1" ht="183" outlineLevel="1" x14ac:dyDescent="0.25">
      <c r="A193" s="97">
        <f t="shared" si="290"/>
        <v>152</v>
      </c>
      <c r="B193" s="98" t="s">
        <v>251</v>
      </c>
      <c r="C193" s="127" t="s">
        <v>225</v>
      </c>
      <c r="D193" s="109" t="s">
        <v>19</v>
      </c>
      <c r="E193" s="100">
        <f t="shared" si="269"/>
        <v>372.5</v>
      </c>
      <c r="F193" s="110">
        <v>0</v>
      </c>
      <c r="G193" s="101">
        <v>0</v>
      </c>
      <c r="H193" s="101">
        <v>0</v>
      </c>
      <c r="I193" s="110">
        <f t="shared" si="270"/>
        <v>0</v>
      </c>
      <c r="J193" s="111">
        <v>19.899999999999999</v>
      </c>
      <c r="K193" s="101">
        <f t="shared" si="264"/>
        <v>11.864406779661017</v>
      </c>
      <c r="L193" s="101">
        <v>14</v>
      </c>
      <c r="M193" s="101">
        <f t="shared" si="271"/>
        <v>278.59999999999997</v>
      </c>
      <c r="N193" s="112">
        <v>193</v>
      </c>
      <c r="O193" s="110">
        <v>0</v>
      </c>
      <c r="P193" s="101">
        <v>5</v>
      </c>
      <c r="Q193" s="101">
        <f t="shared" si="273"/>
        <v>965</v>
      </c>
      <c r="R193" s="111">
        <v>0</v>
      </c>
      <c r="S193" s="101">
        <f t="shared" si="274"/>
        <v>14.40677966101695</v>
      </c>
      <c r="T193" s="101">
        <v>17</v>
      </c>
      <c r="U193" s="110">
        <f t="shared" si="275"/>
        <v>0</v>
      </c>
      <c r="V193" s="110">
        <v>2.4</v>
      </c>
      <c r="W193" s="101">
        <f t="shared" si="292"/>
        <v>5.9322033898305087</v>
      </c>
      <c r="X193" s="101">
        <v>7</v>
      </c>
      <c r="Y193" s="101">
        <f t="shared" si="277"/>
        <v>16.8</v>
      </c>
      <c r="Z193" s="111">
        <f>1.7+46.4+3+2.7+9.3+16.5+16.6</f>
        <v>96.200000000000017</v>
      </c>
      <c r="AA193" s="101">
        <f t="shared" si="266"/>
        <v>5.5084745762711869</v>
      </c>
      <c r="AB193" s="101">
        <v>6.5</v>
      </c>
      <c r="AC193" s="101">
        <f t="shared" si="278"/>
        <v>625.30000000000007</v>
      </c>
      <c r="AD193" s="110">
        <v>0</v>
      </c>
      <c r="AE193" s="101"/>
      <c r="AF193" s="101"/>
      <c r="AG193" s="110">
        <f t="shared" si="279"/>
        <v>0</v>
      </c>
      <c r="AH193" s="112">
        <v>55.5</v>
      </c>
      <c r="AI193" s="101">
        <f t="shared" si="267"/>
        <v>7.6271186440677967</v>
      </c>
      <c r="AJ193" s="110">
        <v>9</v>
      </c>
      <c r="AK193" s="110">
        <f t="shared" si="280"/>
        <v>499.5</v>
      </c>
      <c r="AL193" s="112">
        <f>3.5+2</f>
        <v>5.5</v>
      </c>
      <c r="AM193" s="110"/>
      <c r="AN193" s="101">
        <v>14</v>
      </c>
      <c r="AO193" s="110"/>
      <c r="AP193" s="101">
        <f t="shared" si="261"/>
        <v>2021.3559322033898</v>
      </c>
      <c r="AQ193" s="101">
        <f t="shared" si="283"/>
        <v>2385.1999999999998</v>
      </c>
      <c r="AR193" s="112">
        <v>0</v>
      </c>
      <c r="AS193" s="101" t="s">
        <v>270</v>
      </c>
      <c r="AT193" s="103">
        <v>0</v>
      </c>
      <c r="AU193" s="103">
        <f t="shared" si="284"/>
        <v>5.0847457627118651</v>
      </c>
      <c r="AV193" s="103">
        <v>6</v>
      </c>
      <c r="AW193" s="103">
        <f t="shared" ref="AW193" si="293">AU193*AR193</f>
        <v>0</v>
      </c>
      <c r="AX193" s="103">
        <f t="shared" ref="AX193" si="294">AV193*AR193</f>
        <v>0</v>
      </c>
      <c r="AY193" s="104">
        <f t="shared" si="260"/>
        <v>2021.3559322033898</v>
      </c>
      <c r="AZ193" s="105">
        <f t="shared" si="260"/>
        <v>2385.1999999999998</v>
      </c>
      <c r="BA193" s="70"/>
      <c r="BB193" s="9"/>
      <c r="BC193" s="9"/>
      <c r="BD193" s="9"/>
      <c r="BE193" s="43"/>
      <c r="BF193" s="43"/>
      <c r="BG193" s="67"/>
      <c r="BH193" s="41"/>
      <c r="BI193" s="41"/>
      <c r="BJ193" s="41"/>
      <c r="BK193" s="41"/>
      <c r="BL193" s="41"/>
      <c r="BM193" s="41"/>
      <c r="BN193" s="41"/>
      <c r="BO193" s="41"/>
      <c r="BP193" s="41"/>
      <c r="BQ193" s="41"/>
      <c r="BR193" s="41"/>
      <c r="BS193" s="41"/>
      <c r="BT193" s="41"/>
      <c r="BU193" s="41"/>
      <c r="BV193" s="41"/>
      <c r="BW193" s="41"/>
      <c r="BX193" s="41"/>
      <c r="BY193" s="41"/>
      <c r="BZ193" s="41"/>
      <c r="CA193" s="41"/>
      <c r="CB193" s="41"/>
      <c r="CC193" s="41"/>
      <c r="CD193" s="41"/>
      <c r="CE193" s="41"/>
      <c r="CF193" s="41"/>
      <c r="CG193" s="41"/>
      <c r="CH193" s="41"/>
      <c r="CI193" s="41"/>
      <c r="CJ193" s="41"/>
      <c r="CK193" s="41"/>
      <c r="CL193" s="41"/>
      <c r="CM193" s="41"/>
      <c r="CN193" s="41"/>
      <c r="CO193" s="41"/>
    </row>
    <row r="194" spans="1:93" s="29" customFormat="1" ht="45.75" outlineLevel="1" x14ac:dyDescent="0.3">
      <c r="A194" s="145" t="s">
        <v>70</v>
      </c>
      <c r="B194" s="146"/>
      <c r="C194" s="146"/>
      <c r="D194" s="120"/>
      <c r="E194" s="100"/>
      <c r="F194" s="120"/>
      <c r="G194" s="101">
        <v>0</v>
      </c>
      <c r="H194" s="101">
        <v>0</v>
      </c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20"/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0"/>
      <c r="AF194" s="120"/>
      <c r="AG194" s="120"/>
      <c r="AH194" s="120"/>
      <c r="AI194" s="120"/>
      <c r="AJ194" s="120"/>
      <c r="AK194" s="120"/>
      <c r="AL194" s="120"/>
      <c r="AM194" s="120"/>
      <c r="AN194" s="120"/>
      <c r="AO194" s="120"/>
      <c r="AP194" s="107"/>
      <c r="AQ194" s="107"/>
      <c r="AR194" s="120"/>
      <c r="AS194" s="101"/>
      <c r="AT194" s="120"/>
      <c r="AU194" s="120"/>
      <c r="AV194" s="120"/>
      <c r="AW194" s="120"/>
      <c r="AX194" s="120"/>
      <c r="AY194" s="107"/>
      <c r="AZ194" s="108"/>
      <c r="BA194" s="28"/>
      <c r="BB194" s="28"/>
      <c r="BC194" s="28"/>
      <c r="BD194" s="28"/>
      <c r="BE194" s="28"/>
      <c r="BF194" s="28"/>
    </row>
    <row r="195" spans="1:93" s="4" customFormat="1" ht="274.5" outlineLevel="1" x14ac:dyDescent="0.25">
      <c r="A195" s="97">
        <f>A193+1</f>
        <v>153</v>
      </c>
      <c r="B195" s="98" t="s">
        <v>20</v>
      </c>
      <c r="C195" s="125" t="s">
        <v>166</v>
      </c>
      <c r="D195" s="99" t="s">
        <v>19</v>
      </c>
      <c r="E195" s="100">
        <f t="shared" ref="E195:E221" si="295">F195+J195+N195+R195+V195+Z195+AD195+AH195+AL195</f>
        <v>114.6</v>
      </c>
      <c r="F195" s="101">
        <v>0</v>
      </c>
      <c r="G195" s="101">
        <v>0</v>
      </c>
      <c r="H195" s="101">
        <v>0</v>
      </c>
      <c r="I195" s="101">
        <f t="shared" si="270"/>
        <v>0</v>
      </c>
      <c r="J195" s="100">
        <v>0</v>
      </c>
      <c r="K195" s="101">
        <f t="shared" si="264"/>
        <v>11.864406779661017</v>
      </c>
      <c r="L195" s="101">
        <v>14</v>
      </c>
      <c r="M195" s="101">
        <f t="shared" si="271"/>
        <v>0</v>
      </c>
      <c r="N195" s="102">
        <v>0</v>
      </c>
      <c r="O195" s="101">
        <f t="shared" si="272"/>
        <v>4.2372881355932206</v>
      </c>
      <c r="P195" s="101">
        <v>5</v>
      </c>
      <c r="Q195" s="101">
        <f t="shared" si="273"/>
        <v>0</v>
      </c>
      <c r="R195" s="100">
        <v>114.6</v>
      </c>
      <c r="S195" s="101">
        <f t="shared" si="274"/>
        <v>14.40677966101695</v>
      </c>
      <c r="T195" s="101">
        <v>17</v>
      </c>
      <c r="U195" s="101">
        <f t="shared" si="275"/>
        <v>1948.1999999999998</v>
      </c>
      <c r="V195" s="101">
        <v>0</v>
      </c>
      <c r="W195" s="101">
        <f t="shared" ref="W195:W197" si="296">X195/1.18</f>
        <v>5.9322033898305087</v>
      </c>
      <c r="X195" s="101">
        <v>7</v>
      </c>
      <c r="Y195" s="101">
        <f t="shared" si="277"/>
        <v>0</v>
      </c>
      <c r="Z195" s="100">
        <v>0</v>
      </c>
      <c r="AA195" s="101">
        <f t="shared" si="266"/>
        <v>5.5084745762711869</v>
      </c>
      <c r="AB195" s="101">
        <v>6.5</v>
      </c>
      <c r="AC195" s="101">
        <f t="shared" si="278"/>
        <v>0</v>
      </c>
      <c r="AD195" s="101">
        <v>0</v>
      </c>
      <c r="AE195" s="101"/>
      <c r="AF195" s="101"/>
      <c r="AG195" s="101">
        <f t="shared" si="279"/>
        <v>0</v>
      </c>
      <c r="AH195" s="102">
        <v>0</v>
      </c>
      <c r="AI195" s="101">
        <f t="shared" si="267"/>
        <v>7.6271186440677967</v>
      </c>
      <c r="AJ195" s="110">
        <v>9</v>
      </c>
      <c r="AK195" s="101">
        <f t="shared" si="280"/>
        <v>0</v>
      </c>
      <c r="AL195" s="102">
        <v>0</v>
      </c>
      <c r="AM195" s="101">
        <f t="shared" si="281"/>
        <v>11.864406779661017</v>
      </c>
      <c r="AN195" s="101">
        <v>14</v>
      </c>
      <c r="AO195" s="101">
        <f t="shared" si="282"/>
        <v>0</v>
      </c>
      <c r="AP195" s="101">
        <f t="shared" si="261"/>
        <v>1651.0169491525423</v>
      </c>
      <c r="AQ195" s="101">
        <f t="shared" ref="AQ195:AQ221" si="297">I195+M195+Q195+U195+Y195+AC195+AG195+AK195+AO195</f>
        <v>1948.1999999999998</v>
      </c>
      <c r="AR195" s="102">
        <v>0</v>
      </c>
      <c r="AS195" s="101" t="s">
        <v>270</v>
      </c>
      <c r="AT195" s="103">
        <v>0</v>
      </c>
      <c r="AU195" s="103">
        <f t="shared" si="284"/>
        <v>5.0847457627118651</v>
      </c>
      <c r="AV195" s="103">
        <v>6</v>
      </c>
      <c r="AW195" s="103">
        <f t="shared" si="285"/>
        <v>0</v>
      </c>
      <c r="AX195" s="103">
        <f t="shared" si="289"/>
        <v>0</v>
      </c>
      <c r="AY195" s="104">
        <f t="shared" si="260"/>
        <v>1651.0169491525423</v>
      </c>
      <c r="AZ195" s="105">
        <f t="shared" si="260"/>
        <v>1948.1999999999998</v>
      </c>
      <c r="BA195" s="9"/>
      <c r="BB195" s="9"/>
      <c r="BC195" s="9"/>
      <c r="BD195" s="9"/>
      <c r="BE195" s="43"/>
      <c r="BF195" s="43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</row>
    <row r="196" spans="1:93" s="4" customFormat="1" ht="228.75" outlineLevel="1" x14ac:dyDescent="0.25">
      <c r="A196" s="97">
        <f>A195+1</f>
        <v>154</v>
      </c>
      <c r="B196" s="98" t="s">
        <v>20</v>
      </c>
      <c r="C196" s="125" t="s">
        <v>167</v>
      </c>
      <c r="D196" s="99" t="s">
        <v>19</v>
      </c>
      <c r="E196" s="100">
        <f t="shared" si="295"/>
        <v>89.6</v>
      </c>
      <c r="F196" s="101">
        <v>0</v>
      </c>
      <c r="G196" s="101">
        <v>0</v>
      </c>
      <c r="H196" s="101">
        <v>0</v>
      </c>
      <c r="I196" s="101">
        <f t="shared" si="270"/>
        <v>0</v>
      </c>
      <c r="J196" s="100">
        <v>0</v>
      </c>
      <c r="K196" s="101">
        <f t="shared" si="264"/>
        <v>11.864406779661017</v>
      </c>
      <c r="L196" s="101">
        <v>14</v>
      </c>
      <c r="M196" s="101">
        <f t="shared" si="271"/>
        <v>0</v>
      </c>
      <c r="N196" s="102">
        <v>0</v>
      </c>
      <c r="O196" s="101">
        <f t="shared" si="272"/>
        <v>4.2372881355932206</v>
      </c>
      <c r="P196" s="101">
        <v>5</v>
      </c>
      <c r="Q196" s="101">
        <f t="shared" si="273"/>
        <v>0</v>
      </c>
      <c r="R196" s="100">
        <v>89.6</v>
      </c>
      <c r="S196" s="101">
        <f t="shared" si="274"/>
        <v>14.40677966101695</v>
      </c>
      <c r="T196" s="101">
        <v>17</v>
      </c>
      <c r="U196" s="101">
        <f t="shared" si="275"/>
        <v>1523.1999999999998</v>
      </c>
      <c r="V196" s="101">
        <v>0</v>
      </c>
      <c r="W196" s="101">
        <f t="shared" si="296"/>
        <v>5.9322033898305087</v>
      </c>
      <c r="X196" s="101">
        <v>7</v>
      </c>
      <c r="Y196" s="101">
        <f t="shared" si="277"/>
        <v>0</v>
      </c>
      <c r="Z196" s="100">
        <v>0</v>
      </c>
      <c r="AA196" s="101">
        <f t="shared" si="266"/>
        <v>5.5084745762711869</v>
      </c>
      <c r="AB196" s="101">
        <v>6.5</v>
      </c>
      <c r="AC196" s="101">
        <f t="shared" si="278"/>
        <v>0</v>
      </c>
      <c r="AD196" s="101">
        <v>0</v>
      </c>
      <c r="AE196" s="101"/>
      <c r="AF196" s="101"/>
      <c r="AG196" s="101">
        <f t="shared" si="279"/>
        <v>0</v>
      </c>
      <c r="AH196" s="102">
        <v>0</v>
      </c>
      <c r="AI196" s="101">
        <f t="shared" si="267"/>
        <v>7.6271186440677967</v>
      </c>
      <c r="AJ196" s="110">
        <v>9</v>
      </c>
      <c r="AK196" s="101">
        <f t="shared" si="280"/>
        <v>0</v>
      </c>
      <c r="AL196" s="102">
        <v>0</v>
      </c>
      <c r="AM196" s="101">
        <f t="shared" si="281"/>
        <v>11.864406779661017</v>
      </c>
      <c r="AN196" s="101">
        <v>14</v>
      </c>
      <c r="AO196" s="101">
        <f t="shared" si="282"/>
        <v>0</v>
      </c>
      <c r="AP196" s="101">
        <f t="shared" si="261"/>
        <v>1290.8474576271185</v>
      </c>
      <c r="AQ196" s="101">
        <f t="shared" si="297"/>
        <v>1523.1999999999998</v>
      </c>
      <c r="AR196" s="102">
        <v>0</v>
      </c>
      <c r="AS196" s="101" t="s">
        <v>270</v>
      </c>
      <c r="AT196" s="103">
        <v>0</v>
      </c>
      <c r="AU196" s="103">
        <f t="shared" si="284"/>
        <v>5.0847457627118651</v>
      </c>
      <c r="AV196" s="103">
        <v>6</v>
      </c>
      <c r="AW196" s="103">
        <f t="shared" si="285"/>
        <v>0</v>
      </c>
      <c r="AX196" s="103">
        <f t="shared" si="289"/>
        <v>0</v>
      </c>
      <c r="AY196" s="104">
        <f t="shared" si="260"/>
        <v>1290.8474576271185</v>
      </c>
      <c r="AZ196" s="105">
        <f t="shared" si="260"/>
        <v>1523.1999999999998</v>
      </c>
      <c r="BA196" s="9"/>
      <c r="BB196" s="9"/>
      <c r="BC196" s="9"/>
      <c r="BD196" s="9"/>
      <c r="BE196" s="43"/>
      <c r="BF196" s="43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</row>
    <row r="197" spans="1:93" s="4" customFormat="1" ht="228.75" outlineLevel="1" x14ac:dyDescent="0.25">
      <c r="A197" s="97">
        <f t="shared" ref="A197:A217" si="298">A196+1</f>
        <v>155</v>
      </c>
      <c r="B197" s="98" t="s">
        <v>20</v>
      </c>
      <c r="C197" s="125" t="s">
        <v>168</v>
      </c>
      <c r="D197" s="99" t="s">
        <v>19</v>
      </c>
      <c r="E197" s="100">
        <f t="shared" si="295"/>
        <v>24.2</v>
      </c>
      <c r="F197" s="101">
        <v>0</v>
      </c>
      <c r="G197" s="101">
        <v>0</v>
      </c>
      <c r="H197" s="101">
        <v>0</v>
      </c>
      <c r="I197" s="101">
        <f t="shared" si="270"/>
        <v>0</v>
      </c>
      <c r="J197" s="100">
        <v>0</v>
      </c>
      <c r="K197" s="101">
        <f t="shared" si="264"/>
        <v>11.864406779661017</v>
      </c>
      <c r="L197" s="101">
        <v>14</v>
      </c>
      <c r="M197" s="101">
        <f t="shared" si="271"/>
        <v>0</v>
      </c>
      <c r="N197" s="102">
        <v>0</v>
      </c>
      <c r="O197" s="101">
        <f t="shared" si="272"/>
        <v>4.2372881355932206</v>
      </c>
      <c r="P197" s="101">
        <v>5</v>
      </c>
      <c r="Q197" s="101">
        <f t="shared" si="273"/>
        <v>0</v>
      </c>
      <c r="R197" s="100">
        <v>24.2</v>
      </c>
      <c r="S197" s="101">
        <f t="shared" si="274"/>
        <v>14.40677966101695</v>
      </c>
      <c r="T197" s="101">
        <v>17</v>
      </c>
      <c r="U197" s="101">
        <f t="shared" si="275"/>
        <v>411.4</v>
      </c>
      <c r="V197" s="101">
        <v>0</v>
      </c>
      <c r="W197" s="101">
        <f t="shared" si="296"/>
        <v>5.9322033898305087</v>
      </c>
      <c r="X197" s="101">
        <v>7</v>
      </c>
      <c r="Y197" s="101">
        <f t="shared" si="277"/>
        <v>0</v>
      </c>
      <c r="Z197" s="100">
        <v>0</v>
      </c>
      <c r="AA197" s="101">
        <f t="shared" si="266"/>
        <v>5.5084745762711869</v>
      </c>
      <c r="AB197" s="101">
        <v>6.5</v>
      </c>
      <c r="AC197" s="101">
        <f t="shared" si="278"/>
        <v>0</v>
      </c>
      <c r="AD197" s="101">
        <v>0</v>
      </c>
      <c r="AE197" s="101"/>
      <c r="AF197" s="101"/>
      <c r="AG197" s="101">
        <f t="shared" si="279"/>
        <v>0</v>
      </c>
      <c r="AH197" s="102">
        <v>0</v>
      </c>
      <c r="AI197" s="101">
        <f t="shared" si="267"/>
        <v>7.6271186440677967</v>
      </c>
      <c r="AJ197" s="110">
        <v>9</v>
      </c>
      <c r="AK197" s="101">
        <f t="shared" si="280"/>
        <v>0</v>
      </c>
      <c r="AL197" s="102">
        <v>0</v>
      </c>
      <c r="AM197" s="101">
        <f t="shared" si="281"/>
        <v>11.864406779661017</v>
      </c>
      <c r="AN197" s="101">
        <v>14</v>
      </c>
      <c r="AO197" s="101">
        <f t="shared" si="282"/>
        <v>0</v>
      </c>
      <c r="AP197" s="101">
        <f t="shared" si="261"/>
        <v>348.64406779661016</v>
      </c>
      <c r="AQ197" s="101">
        <f t="shared" si="297"/>
        <v>411.4</v>
      </c>
      <c r="AR197" s="102">
        <v>0</v>
      </c>
      <c r="AS197" s="101" t="s">
        <v>270</v>
      </c>
      <c r="AT197" s="103">
        <v>0</v>
      </c>
      <c r="AU197" s="103">
        <f t="shared" si="284"/>
        <v>5.0847457627118651</v>
      </c>
      <c r="AV197" s="103">
        <v>6</v>
      </c>
      <c r="AW197" s="103">
        <f t="shared" si="285"/>
        <v>0</v>
      </c>
      <c r="AX197" s="103">
        <f t="shared" si="289"/>
        <v>0</v>
      </c>
      <c r="AY197" s="104">
        <f t="shared" si="260"/>
        <v>348.64406779661016</v>
      </c>
      <c r="AZ197" s="105">
        <f t="shared" si="260"/>
        <v>411.4</v>
      </c>
      <c r="BA197" s="9"/>
      <c r="BB197" s="9"/>
      <c r="BC197" s="9"/>
      <c r="BD197" s="9"/>
      <c r="BE197" s="43"/>
      <c r="BF197" s="43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</row>
    <row r="198" spans="1:93" s="4" customFormat="1" ht="228.75" outlineLevel="1" x14ac:dyDescent="0.25">
      <c r="A198" s="97">
        <f t="shared" si="298"/>
        <v>156</v>
      </c>
      <c r="B198" s="98" t="s">
        <v>20</v>
      </c>
      <c r="C198" s="125" t="s">
        <v>169</v>
      </c>
      <c r="D198" s="99" t="s">
        <v>19</v>
      </c>
      <c r="E198" s="100">
        <f t="shared" si="295"/>
        <v>10</v>
      </c>
      <c r="F198" s="101">
        <v>0</v>
      </c>
      <c r="G198" s="101">
        <v>0</v>
      </c>
      <c r="H198" s="101">
        <v>0</v>
      </c>
      <c r="I198" s="101">
        <f t="shared" si="270"/>
        <v>0</v>
      </c>
      <c r="J198" s="100">
        <v>0</v>
      </c>
      <c r="K198" s="101">
        <f t="shared" si="264"/>
        <v>11.864406779661017</v>
      </c>
      <c r="L198" s="101">
        <v>14</v>
      </c>
      <c r="M198" s="101">
        <f t="shared" si="271"/>
        <v>0</v>
      </c>
      <c r="N198" s="102">
        <v>0</v>
      </c>
      <c r="O198" s="101">
        <f t="shared" si="272"/>
        <v>4.2372881355932206</v>
      </c>
      <c r="P198" s="101">
        <v>5</v>
      </c>
      <c r="Q198" s="101">
        <f t="shared" si="273"/>
        <v>0</v>
      </c>
      <c r="R198" s="100">
        <v>10</v>
      </c>
      <c r="S198" s="101">
        <f t="shared" si="274"/>
        <v>14.40677966101695</v>
      </c>
      <c r="T198" s="101">
        <v>17</v>
      </c>
      <c r="U198" s="101">
        <f t="shared" si="275"/>
        <v>170</v>
      </c>
      <c r="V198" s="101">
        <v>0</v>
      </c>
      <c r="W198" s="101">
        <v>4.2</v>
      </c>
      <c r="X198" s="101">
        <v>7</v>
      </c>
      <c r="Y198" s="101">
        <f t="shared" si="277"/>
        <v>0</v>
      </c>
      <c r="Z198" s="100">
        <v>0</v>
      </c>
      <c r="AA198" s="101">
        <f t="shared" si="266"/>
        <v>5.5084745762711869</v>
      </c>
      <c r="AB198" s="101">
        <v>6.5</v>
      </c>
      <c r="AC198" s="101">
        <f t="shared" si="278"/>
        <v>0</v>
      </c>
      <c r="AD198" s="101">
        <v>0</v>
      </c>
      <c r="AE198" s="101"/>
      <c r="AF198" s="101"/>
      <c r="AG198" s="101">
        <f t="shared" si="279"/>
        <v>0</v>
      </c>
      <c r="AH198" s="102">
        <v>0</v>
      </c>
      <c r="AI198" s="101">
        <f t="shared" si="267"/>
        <v>7.6271186440677967</v>
      </c>
      <c r="AJ198" s="110">
        <v>9</v>
      </c>
      <c r="AK198" s="101">
        <f t="shared" si="280"/>
        <v>0</v>
      </c>
      <c r="AL198" s="102">
        <v>0</v>
      </c>
      <c r="AM198" s="101">
        <f t="shared" si="281"/>
        <v>11.864406779661017</v>
      </c>
      <c r="AN198" s="101">
        <v>14</v>
      </c>
      <c r="AO198" s="101">
        <f t="shared" si="282"/>
        <v>0</v>
      </c>
      <c r="AP198" s="101">
        <f t="shared" si="261"/>
        <v>144.06779661016949</v>
      </c>
      <c r="AQ198" s="101">
        <f t="shared" si="297"/>
        <v>170</v>
      </c>
      <c r="AR198" s="102">
        <v>0</v>
      </c>
      <c r="AS198" s="101" t="s">
        <v>270</v>
      </c>
      <c r="AT198" s="103">
        <v>0</v>
      </c>
      <c r="AU198" s="103">
        <f t="shared" si="284"/>
        <v>5.0847457627118651</v>
      </c>
      <c r="AV198" s="103">
        <v>6</v>
      </c>
      <c r="AW198" s="103">
        <f t="shared" si="285"/>
        <v>0</v>
      </c>
      <c r="AX198" s="103">
        <f t="shared" si="289"/>
        <v>0</v>
      </c>
      <c r="AY198" s="104">
        <f t="shared" si="260"/>
        <v>144.06779661016949</v>
      </c>
      <c r="AZ198" s="105">
        <f t="shared" si="260"/>
        <v>170</v>
      </c>
      <c r="BA198" s="9"/>
      <c r="BB198" s="9"/>
      <c r="BC198" s="9"/>
      <c r="BD198" s="9"/>
      <c r="BE198" s="43"/>
      <c r="BF198" s="43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</row>
    <row r="199" spans="1:93" s="4" customFormat="1" ht="228.75" outlineLevel="1" x14ac:dyDescent="0.25">
      <c r="A199" s="97">
        <f t="shared" si="298"/>
        <v>157</v>
      </c>
      <c r="B199" s="98" t="s">
        <v>20</v>
      </c>
      <c r="C199" s="125" t="s">
        <v>170</v>
      </c>
      <c r="D199" s="99" t="s">
        <v>19</v>
      </c>
      <c r="E199" s="100">
        <f t="shared" si="295"/>
        <v>48.900000000000006</v>
      </c>
      <c r="F199" s="101">
        <v>0</v>
      </c>
      <c r="G199" s="101">
        <v>0</v>
      </c>
      <c r="H199" s="101">
        <v>0</v>
      </c>
      <c r="I199" s="101">
        <f t="shared" si="270"/>
        <v>0</v>
      </c>
      <c r="J199" s="100">
        <v>0</v>
      </c>
      <c r="K199" s="101">
        <f t="shared" si="264"/>
        <v>11.864406779661017</v>
      </c>
      <c r="L199" s="101">
        <v>14</v>
      </c>
      <c r="M199" s="101">
        <f t="shared" si="271"/>
        <v>0</v>
      </c>
      <c r="N199" s="102">
        <v>0</v>
      </c>
      <c r="O199" s="101">
        <f t="shared" si="272"/>
        <v>4.2372881355932206</v>
      </c>
      <c r="P199" s="101">
        <v>5</v>
      </c>
      <c r="Q199" s="101">
        <f t="shared" si="273"/>
        <v>0</v>
      </c>
      <c r="R199" s="100">
        <v>42.7</v>
      </c>
      <c r="S199" s="101">
        <f t="shared" si="274"/>
        <v>14.40677966101695</v>
      </c>
      <c r="T199" s="101">
        <v>17</v>
      </c>
      <c r="U199" s="101">
        <f t="shared" si="275"/>
        <v>725.90000000000009</v>
      </c>
      <c r="V199" s="101">
        <v>0</v>
      </c>
      <c r="W199" s="101">
        <f t="shared" ref="W199:W201" si="299">X199/1.18</f>
        <v>5.9322033898305087</v>
      </c>
      <c r="X199" s="101">
        <v>7</v>
      </c>
      <c r="Y199" s="101">
        <f t="shared" si="277"/>
        <v>0</v>
      </c>
      <c r="Z199" s="100">
        <v>0</v>
      </c>
      <c r="AA199" s="101">
        <f t="shared" si="266"/>
        <v>5.5084745762711869</v>
      </c>
      <c r="AB199" s="101">
        <v>6.5</v>
      </c>
      <c r="AC199" s="101">
        <f t="shared" si="278"/>
        <v>0</v>
      </c>
      <c r="AD199" s="101">
        <v>0</v>
      </c>
      <c r="AE199" s="101"/>
      <c r="AF199" s="101"/>
      <c r="AG199" s="101">
        <f t="shared" si="279"/>
        <v>0</v>
      </c>
      <c r="AH199" s="102">
        <v>0</v>
      </c>
      <c r="AI199" s="101">
        <f t="shared" si="267"/>
        <v>7.6271186440677967</v>
      </c>
      <c r="AJ199" s="110">
        <v>9</v>
      </c>
      <c r="AK199" s="101">
        <f t="shared" si="280"/>
        <v>0</v>
      </c>
      <c r="AL199" s="102">
        <v>6.2</v>
      </c>
      <c r="AM199" s="101">
        <f t="shared" si="281"/>
        <v>11.864406779661017</v>
      </c>
      <c r="AN199" s="101">
        <v>14</v>
      </c>
      <c r="AO199" s="101">
        <f t="shared" si="282"/>
        <v>86.8</v>
      </c>
      <c r="AP199" s="101">
        <f t="shared" si="261"/>
        <v>688.72881355932213</v>
      </c>
      <c r="AQ199" s="101">
        <f t="shared" si="297"/>
        <v>812.7</v>
      </c>
      <c r="AR199" s="102">
        <v>0</v>
      </c>
      <c r="AS199" s="101" t="s">
        <v>270</v>
      </c>
      <c r="AT199" s="103">
        <v>0</v>
      </c>
      <c r="AU199" s="103">
        <f t="shared" si="284"/>
        <v>5.0847457627118651</v>
      </c>
      <c r="AV199" s="103">
        <v>6</v>
      </c>
      <c r="AW199" s="103">
        <f t="shared" si="285"/>
        <v>0</v>
      </c>
      <c r="AX199" s="103">
        <f t="shared" si="289"/>
        <v>0</v>
      </c>
      <c r="AY199" s="104">
        <f t="shared" si="260"/>
        <v>688.72881355932213</v>
      </c>
      <c r="AZ199" s="105">
        <f t="shared" si="260"/>
        <v>812.7</v>
      </c>
      <c r="BA199" s="9"/>
      <c r="BB199" s="9"/>
      <c r="BC199" s="9"/>
      <c r="BD199" s="9"/>
      <c r="BE199" s="43"/>
      <c r="BF199" s="43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</row>
    <row r="200" spans="1:93" s="4" customFormat="1" ht="274.5" outlineLevel="1" x14ac:dyDescent="0.25">
      <c r="A200" s="97">
        <f t="shared" si="298"/>
        <v>158</v>
      </c>
      <c r="B200" s="98" t="s">
        <v>20</v>
      </c>
      <c r="C200" s="125" t="s">
        <v>171</v>
      </c>
      <c r="D200" s="99" t="s">
        <v>19</v>
      </c>
      <c r="E200" s="100">
        <f t="shared" si="295"/>
        <v>69</v>
      </c>
      <c r="F200" s="101">
        <v>0</v>
      </c>
      <c r="G200" s="101">
        <v>0</v>
      </c>
      <c r="H200" s="101">
        <v>0</v>
      </c>
      <c r="I200" s="101">
        <f t="shared" si="270"/>
        <v>0</v>
      </c>
      <c r="J200" s="100">
        <v>0</v>
      </c>
      <c r="K200" s="101">
        <f t="shared" si="264"/>
        <v>11.864406779661017</v>
      </c>
      <c r="L200" s="101">
        <v>14</v>
      </c>
      <c r="M200" s="101">
        <f t="shared" si="271"/>
        <v>0</v>
      </c>
      <c r="N200" s="102">
        <v>0</v>
      </c>
      <c r="O200" s="101">
        <f t="shared" si="272"/>
        <v>4.2372881355932206</v>
      </c>
      <c r="P200" s="101">
        <v>5</v>
      </c>
      <c r="Q200" s="101">
        <f t="shared" si="273"/>
        <v>0</v>
      </c>
      <c r="R200" s="100">
        <v>63.2</v>
      </c>
      <c r="S200" s="101">
        <f t="shared" si="274"/>
        <v>14.40677966101695</v>
      </c>
      <c r="T200" s="101">
        <v>17</v>
      </c>
      <c r="U200" s="101">
        <f t="shared" si="275"/>
        <v>1074.4000000000001</v>
      </c>
      <c r="V200" s="101">
        <v>0</v>
      </c>
      <c r="W200" s="101">
        <f t="shared" si="299"/>
        <v>5.9322033898305087</v>
      </c>
      <c r="X200" s="101">
        <v>7</v>
      </c>
      <c r="Y200" s="101">
        <f t="shared" si="277"/>
        <v>0</v>
      </c>
      <c r="Z200" s="100">
        <v>5.8</v>
      </c>
      <c r="AA200" s="101">
        <f t="shared" si="266"/>
        <v>5.5084745762711869</v>
      </c>
      <c r="AB200" s="101">
        <v>6.5</v>
      </c>
      <c r="AC200" s="101">
        <f t="shared" si="278"/>
        <v>37.699999999999996</v>
      </c>
      <c r="AD200" s="101">
        <v>0</v>
      </c>
      <c r="AE200" s="101"/>
      <c r="AF200" s="101"/>
      <c r="AG200" s="101">
        <f t="shared" si="279"/>
        <v>0</v>
      </c>
      <c r="AH200" s="102">
        <v>0</v>
      </c>
      <c r="AI200" s="101">
        <f t="shared" si="267"/>
        <v>7.6271186440677967</v>
      </c>
      <c r="AJ200" s="110">
        <v>9</v>
      </c>
      <c r="AK200" s="101">
        <f t="shared" si="280"/>
        <v>0</v>
      </c>
      <c r="AL200" s="102">
        <v>0</v>
      </c>
      <c r="AM200" s="101">
        <f t="shared" si="281"/>
        <v>11.864406779661017</v>
      </c>
      <c r="AN200" s="101">
        <v>14</v>
      </c>
      <c r="AO200" s="101">
        <f t="shared" si="282"/>
        <v>0</v>
      </c>
      <c r="AP200" s="101">
        <f t="shared" si="261"/>
        <v>942.45762711864427</v>
      </c>
      <c r="AQ200" s="101">
        <f t="shared" si="297"/>
        <v>1112.1000000000001</v>
      </c>
      <c r="AR200" s="102">
        <v>0</v>
      </c>
      <c r="AS200" s="101" t="s">
        <v>270</v>
      </c>
      <c r="AT200" s="103">
        <v>0</v>
      </c>
      <c r="AU200" s="103">
        <f t="shared" si="284"/>
        <v>5.0847457627118651</v>
      </c>
      <c r="AV200" s="103">
        <v>6</v>
      </c>
      <c r="AW200" s="103">
        <f t="shared" si="285"/>
        <v>0</v>
      </c>
      <c r="AX200" s="103">
        <f t="shared" si="289"/>
        <v>0</v>
      </c>
      <c r="AY200" s="104">
        <f t="shared" si="260"/>
        <v>942.45762711864427</v>
      </c>
      <c r="AZ200" s="105">
        <f t="shared" si="260"/>
        <v>1112.1000000000001</v>
      </c>
      <c r="BA200" s="9"/>
      <c r="BB200" s="9"/>
      <c r="BC200" s="9"/>
      <c r="BD200" s="9"/>
      <c r="BE200" s="43"/>
      <c r="BF200" s="43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</row>
    <row r="201" spans="1:93" s="4" customFormat="1" ht="228.75" outlineLevel="1" x14ac:dyDescent="0.25">
      <c r="A201" s="97">
        <f t="shared" si="298"/>
        <v>159</v>
      </c>
      <c r="B201" s="98" t="s">
        <v>20</v>
      </c>
      <c r="C201" s="125" t="s">
        <v>172</v>
      </c>
      <c r="D201" s="99" t="s">
        <v>19</v>
      </c>
      <c r="E201" s="100">
        <f t="shared" si="295"/>
        <v>105.75</v>
      </c>
      <c r="F201" s="101">
        <v>0</v>
      </c>
      <c r="G201" s="101">
        <v>0</v>
      </c>
      <c r="H201" s="101">
        <v>0</v>
      </c>
      <c r="I201" s="101">
        <f t="shared" si="270"/>
        <v>0</v>
      </c>
      <c r="J201" s="100">
        <v>0</v>
      </c>
      <c r="K201" s="101">
        <f t="shared" si="264"/>
        <v>11.864406779661017</v>
      </c>
      <c r="L201" s="101">
        <v>14</v>
      </c>
      <c r="M201" s="101">
        <f t="shared" si="271"/>
        <v>0</v>
      </c>
      <c r="N201" s="102">
        <v>0</v>
      </c>
      <c r="O201" s="101">
        <f t="shared" si="272"/>
        <v>4.2372881355932206</v>
      </c>
      <c r="P201" s="101">
        <v>5</v>
      </c>
      <c r="Q201" s="101">
        <f t="shared" si="273"/>
        <v>0</v>
      </c>
      <c r="R201" s="100">
        <v>43.4</v>
      </c>
      <c r="S201" s="101">
        <f t="shared" si="274"/>
        <v>14.40677966101695</v>
      </c>
      <c r="T201" s="101">
        <v>17</v>
      </c>
      <c r="U201" s="101">
        <f t="shared" si="275"/>
        <v>737.8</v>
      </c>
      <c r="V201" s="101">
        <v>0</v>
      </c>
      <c r="W201" s="101">
        <f t="shared" si="299"/>
        <v>5.9322033898305087</v>
      </c>
      <c r="X201" s="101">
        <v>7</v>
      </c>
      <c r="Y201" s="101">
        <f t="shared" si="277"/>
        <v>0</v>
      </c>
      <c r="Z201" s="100">
        <f>4.6+4+44.2+3.8+4.25</f>
        <v>60.85</v>
      </c>
      <c r="AA201" s="101">
        <f t="shared" si="266"/>
        <v>5.5084745762711869</v>
      </c>
      <c r="AB201" s="101">
        <v>6.5</v>
      </c>
      <c r="AC201" s="101">
        <f t="shared" si="278"/>
        <v>395.52500000000003</v>
      </c>
      <c r="AD201" s="101">
        <v>0</v>
      </c>
      <c r="AE201" s="101"/>
      <c r="AF201" s="101"/>
      <c r="AG201" s="101">
        <f t="shared" si="279"/>
        <v>0</v>
      </c>
      <c r="AH201" s="102">
        <v>0</v>
      </c>
      <c r="AI201" s="101">
        <f t="shared" si="267"/>
        <v>7.6271186440677967</v>
      </c>
      <c r="AJ201" s="110">
        <v>9</v>
      </c>
      <c r="AK201" s="101">
        <f t="shared" si="280"/>
        <v>0</v>
      </c>
      <c r="AL201" s="102">
        <v>1.5</v>
      </c>
      <c r="AM201" s="101">
        <f t="shared" si="281"/>
        <v>11.864406779661017</v>
      </c>
      <c r="AN201" s="101">
        <v>14</v>
      </c>
      <c r="AO201" s="101">
        <f t="shared" si="282"/>
        <v>21</v>
      </c>
      <c r="AP201" s="101">
        <f t="shared" si="261"/>
        <v>978.24152542372894</v>
      </c>
      <c r="AQ201" s="101">
        <f t="shared" si="297"/>
        <v>1154.325</v>
      </c>
      <c r="AR201" s="102">
        <v>0</v>
      </c>
      <c r="AS201" s="101" t="s">
        <v>270</v>
      </c>
      <c r="AT201" s="103">
        <v>0</v>
      </c>
      <c r="AU201" s="103">
        <f t="shared" si="284"/>
        <v>5.0847457627118651</v>
      </c>
      <c r="AV201" s="103">
        <v>6</v>
      </c>
      <c r="AW201" s="103">
        <f t="shared" si="285"/>
        <v>0</v>
      </c>
      <c r="AX201" s="103">
        <f t="shared" si="289"/>
        <v>0</v>
      </c>
      <c r="AY201" s="104">
        <f t="shared" si="260"/>
        <v>978.24152542372894</v>
      </c>
      <c r="AZ201" s="105">
        <f t="shared" si="260"/>
        <v>1154.325</v>
      </c>
      <c r="BA201" s="9"/>
      <c r="BB201" s="9"/>
      <c r="BC201" s="9"/>
      <c r="BD201" s="9"/>
      <c r="BE201" s="43"/>
      <c r="BF201" s="43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</row>
    <row r="202" spans="1:93" s="4" customFormat="1" ht="228.75" outlineLevel="1" x14ac:dyDescent="0.25">
      <c r="A202" s="97">
        <f t="shared" si="298"/>
        <v>160</v>
      </c>
      <c r="B202" s="98" t="s">
        <v>20</v>
      </c>
      <c r="C202" s="125" t="s">
        <v>173</v>
      </c>
      <c r="D202" s="99" t="s">
        <v>19</v>
      </c>
      <c r="E202" s="100">
        <f t="shared" si="295"/>
        <v>134.75</v>
      </c>
      <c r="F202" s="101">
        <v>0</v>
      </c>
      <c r="G202" s="101">
        <v>0</v>
      </c>
      <c r="H202" s="101">
        <v>0</v>
      </c>
      <c r="I202" s="101">
        <f t="shared" si="270"/>
        <v>0</v>
      </c>
      <c r="J202" s="100">
        <v>0</v>
      </c>
      <c r="K202" s="101">
        <f t="shared" si="264"/>
        <v>11.864406779661017</v>
      </c>
      <c r="L202" s="101">
        <v>14</v>
      </c>
      <c r="M202" s="101">
        <f t="shared" si="271"/>
        <v>0</v>
      </c>
      <c r="N202" s="102">
        <v>0</v>
      </c>
      <c r="O202" s="101">
        <f t="shared" si="272"/>
        <v>4.2372881355932206</v>
      </c>
      <c r="P202" s="101">
        <v>5</v>
      </c>
      <c r="Q202" s="101">
        <f t="shared" si="273"/>
        <v>0</v>
      </c>
      <c r="R202" s="100">
        <v>115.95</v>
      </c>
      <c r="S202" s="101">
        <f t="shared" si="274"/>
        <v>14.40677966101695</v>
      </c>
      <c r="T202" s="101">
        <v>17</v>
      </c>
      <c r="U202" s="101">
        <f t="shared" si="275"/>
        <v>1971.15</v>
      </c>
      <c r="V202" s="101">
        <v>0</v>
      </c>
      <c r="W202" s="101">
        <v>4.2</v>
      </c>
      <c r="X202" s="101">
        <v>7</v>
      </c>
      <c r="Y202" s="101">
        <f t="shared" si="277"/>
        <v>0</v>
      </c>
      <c r="Z202" s="100">
        <v>18.8</v>
      </c>
      <c r="AA202" s="101">
        <f t="shared" si="266"/>
        <v>5.5084745762711869</v>
      </c>
      <c r="AB202" s="101">
        <v>6.5</v>
      </c>
      <c r="AC202" s="101">
        <f t="shared" si="278"/>
        <v>122.2</v>
      </c>
      <c r="AD202" s="101">
        <v>0</v>
      </c>
      <c r="AE202" s="101"/>
      <c r="AF202" s="101"/>
      <c r="AG202" s="101">
        <f t="shared" si="279"/>
        <v>0</v>
      </c>
      <c r="AH202" s="102">
        <v>0</v>
      </c>
      <c r="AI202" s="101">
        <f t="shared" si="267"/>
        <v>7.6271186440677967</v>
      </c>
      <c r="AJ202" s="110">
        <v>9</v>
      </c>
      <c r="AK202" s="101">
        <f t="shared" si="280"/>
        <v>0</v>
      </c>
      <c r="AL202" s="102">
        <v>0</v>
      </c>
      <c r="AM202" s="101">
        <f t="shared" si="281"/>
        <v>11.864406779661017</v>
      </c>
      <c r="AN202" s="101">
        <v>14</v>
      </c>
      <c r="AO202" s="101">
        <f t="shared" si="282"/>
        <v>0</v>
      </c>
      <c r="AP202" s="101">
        <f t="shared" si="261"/>
        <v>1774.0254237288136</v>
      </c>
      <c r="AQ202" s="101">
        <f t="shared" si="297"/>
        <v>2093.35</v>
      </c>
      <c r="AR202" s="102">
        <v>0</v>
      </c>
      <c r="AS202" s="101" t="s">
        <v>270</v>
      </c>
      <c r="AT202" s="103">
        <v>0</v>
      </c>
      <c r="AU202" s="103">
        <f t="shared" si="284"/>
        <v>5.0847457627118651</v>
      </c>
      <c r="AV202" s="103">
        <v>6</v>
      </c>
      <c r="AW202" s="103">
        <f t="shared" si="285"/>
        <v>0</v>
      </c>
      <c r="AX202" s="103">
        <f t="shared" si="289"/>
        <v>0</v>
      </c>
      <c r="AY202" s="104">
        <f t="shared" si="260"/>
        <v>1774.0254237288136</v>
      </c>
      <c r="AZ202" s="105">
        <f t="shared" si="260"/>
        <v>2093.35</v>
      </c>
      <c r="BA202" s="9"/>
      <c r="BB202" s="9"/>
      <c r="BC202" s="9"/>
      <c r="BD202" s="9"/>
      <c r="BE202" s="43"/>
      <c r="BF202" s="43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</row>
    <row r="203" spans="1:93" s="4" customFormat="1" ht="228.75" outlineLevel="1" x14ac:dyDescent="0.25">
      <c r="A203" s="97">
        <f t="shared" si="298"/>
        <v>161</v>
      </c>
      <c r="B203" s="98" t="s">
        <v>20</v>
      </c>
      <c r="C203" s="125" t="s">
        <v>174</v>
      </c>
      <c r="D203" s="99" t="s">
        <v>19</v>
      </c>
      <c r="E203" s="100">
        <f t="shared" si="295"/>
        <v>123.4</v>
      </c>
      <c r="F203" s="101">
        <v>0</v>
      </c>
      <c r="G203" s="101">
        <v>0</v>
      </c>
      <c r="H203" s="101">
        <v>0</v>
      </c>
      <c r="I203" s="101">
        <f t="shared" si="270"/>
        <v>0</v>
      </c>
      <c r="J203" s="100">
        <v>0</v>
      </c>
      <c r="K203" s="101">
        <f t="shared" si="264"/>
        <v>11.864406779661017</v>
      </c>
      <c r="L203" s="101">
        <v>14</v>
      </c>
      <c r="M203" s="101">
        <f t="shared" si="271"/>
        <v>0</v>
      </c>
      <c r="N203" s="102">
        <v>0</v>
      </c>
      <c r="O203" s="101">
        <f t="shared" si="272"/>
        <v>4.2372881355932206</v>
      </c>
      <c r="P203" s="101">
        <v>5</v>
      </c>
      <c r="Q203" s="101">
        <f t="shared" si="273"/>
        <v>0</v>
      </c>
      <c r="R203" s="100">
        <v>123.4</v>
      </c>
      <c r="S203" s="101">
        <f t="shared" si="274"/>
        <v>14.40677966101695</v>
      </c>
      <c r="T203" s="101">
        <v>17</v>
      </c>
      <c r="U203" s="101">
        <f t="shared" si="275"/>
        <v>2097.8000000000002</v>
      </c>
      <c r="V203" s="101">
        <v>0</v>
      </c>
      <c r="W203" s="101">
        <f t="shared" ref="W203:W205" si="300">X203/1.18</f>
        <v>5.9322033898305087</v>
      </c>
      <c r="X203" s="101">
        <v>7</v>
      </c>
      <c r="Y203" s="101">
        <f t="shared" si="277"/>
        <v>0</v>
      </c>
      <c r="Z203" s="100">
        <v>0</v>
      </c>
      <c r="AA203" s="101">
        <f t="shared" si="266"/>
        <v>5.5084745762711869</v>
      </c>
      <c r="AB203" s="101">
        <v>6.5</v>
      </c>
      <c r="AC203" s="101">
        <f t="shared" si="278"/>
        <v>0</v>
      </c>
      <c r="AD203" s="101">
        <v>0</v>
      </c>
      <c r="AE203" s="101"/>
      <c r="AF203" s="101"/>
      <c r="AG203" s="101">
        <f t="shared" si="279"/>
        <v>0</v>
      </c>
      <c r="AH203" s="102">
        <v>0</v>
      </c>
      <c r="AI203" s="101">
        <f t="shared" si="267"/>
        <v>7.6271186440677967</v>
      </c>
      <c r="AJ203" s="110">
        <v>9</v>
      </c>
      <c r="AK203" s="101">
        <f t="shared" si="280"/>
        <v>0</v>
      </c>
      <c r="AL203" s="102">
        <v>0</v>
      </c>
      <c r="AM203" s="101">
        <f t="shared" si="281"/>
        <v>11.864406779661017</v>
      </c>
      <c r="AN203" s="101">
        <v>14</v>
      </c>
      <c r="AO203" s="101">
        <f t="shared" si="282"/>
        <v>0</v>
      </c>
      <c r="AP203" s="101">
        <f t="shared" si="261"/>
        <v>1777.7966101694917</v>
      </c>
      <c r="AQ203" s="101">
        <f t="shared" si="297"/>
        <v>2097.8000000000002</v>
      </c>
      <c r="AR203" s="102">
        <v>0</v>
      </c>
      <c r="AS203" s="101" t="s">
        <v>270</v>
      </c>
      <c r="AT203" s="103">
        <v>0</v>
      </c>
      <c r="AU203" s="103">
        <f t="shared" si="284"/>
        <v>5.0847457627118651</v>
      </c>
      <c r="AV203" s="103">
        <v>6</v>
      </c>
      <c r="AW203" s="103">
        <f t="shared" si="285"/>
        <v>0</v>
      </c>
      <c r="AX203" s="103">
        <f t="shared" si="289"/>
        <v>0</v>
      </c>
      <c r="AY203" s="104">
        <f t="shared" si="260"/>
        <v>1777.7966101694917</v>
      </c>
      <c r="AZ203" s="105">
        <f t="shared" si="260"/>
        <v>2097.8000000000002</v>
      </c>
      <c r="BA203" s="9"/>
      <c r="BB203" s="9"/>
      <c r="BC203" s="9"/>
      <c r="BD203" s="9"/>
      <c r="BE203" s="43"/>
      <c r="BF203" s="43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</row>
    <row r="204" spans="1:93" s="4" customFormat="1" ht="366" outlineLevel="1" x14ac:dyDescent="0.25">
      <c r="A204" s="97">
        <f t="shared" si="298"/>
        <v>162</v>
      </c>
      <c r="B204" s="98" t="s">
        <v>20</v>
      </c>
      <c r="C204" s="125" t="s">
        <v>175</v>
      </c>
      <c r="D204" s="99" t="s">
        <v>19</v>
      </c>
      <c r="E204" s="100">
        <f t="shared" si="295"/>
        <v>35.1</v>
      </c>
      <c r="F204" s="101">
        <v>0</v>
      </c>
      <c r="G204" s="101">
        <v>0</v>
      </c>
      <c r="H204" s="101">
        <v>0</v>
      </c>
      <c r="I204" s="101">
        <f t="shared" si="270"/>
        <v>0</v>
      </c>
      <c r="J204" s="100">
        <v>0</v>
      </c>
      <c r="K204" s="101">
        <f t="shared" si="264"/>
        <v>11.864406779661017</v>
      </c>
      <c r="L204" s="101">
        <v>14</v>
      </c>
      <c r="M204" s="101">
        <f t="shared" si="271"/>
        <v>0</v>
      </c>
      <c r="N204" s="102">
        <v>0</v>
      </c>
      <c r="O204" s="101">
        <f t="shared" si="272"/>
        <v>4.2372881355932206</v>
      </c>
      <c r="P204" s="101">
        <v>5</v>
      </c>
      <c r="Q204" s="101">
        <f t="shared" si="273"/>
        <v>0</v>
      </c>
      <c r="R204" s="111">
        <v>35.1</v>
      </c>
      <c r="S204" s="101">
        <f t="shared" si="274"/>
        <v>14.40677966101695</v>
      </c>
      <c r="T204" s="101">
        <v>17</v>
      </c>
      <c r="U204" s="101">
        <f t="shared" si="275"/>
        <v>596.70000000000005</v>
      </c>
      <c r="V204" s="101">
        <v>0</v>
      </c>
      <c r="W204" s="101">
        <f t="shared" si="300"/>
        <v>5.9322033898305087</v>
      </c>
      <c r="X204" s="101">
        <v>7</v>
      </c>
      <c r="Y204" s="101">
        <f t="shared" si="277"/>
        <v>0</v>
      </c>
      <c r="Z204" s="100">
        <v>0</v>
      </c>
      <c r="AA204" s="101">
        <f t="shared" si="266"/>
        <v>5.5084745762711869</v>
      </c>
      <c r="AB204" s="101">
        <v>6.5</v>
      </c>
      <c r="AC204" s="101">
        <f t="shared" si="278"/>
        <v>0</v>
      </c>
      <c r="AD204" s="101">
        <v>0</v>
      </c>
      <c r="AE204" s="101"/>
      <c r="AF204" s="101"/>
      <c r="AG204" s="101">
        <f t="shared" si="279"/>
        <v>0</v>
      </c>
      <c r="AH204" s="102">
        <v>0</v>
      </c>
      <c r="AI204" s="101">
        <f t="shared" si="267"/>
        <v>7.6271186440677967</v>
      </c>
      <c r="AJ204" s="110">
        <v>9</v>
      </c>
      <c r="AK204" s="101">
        <f t="shared" si="280"/>
        <v>0</v>
      </c>
      <c r="AL204" s="102">
        <v>0</v>
      </c>
      <c r="AM204" s="101">
        <f t="shared" si="281"/>
        <v>11.864406779661017</v>
      </c>
      <c r="AN204" s="101">
        <v>14</v>
      </c>
      <c r="AO204" s="101">
        <f t="shared" si="282"/>
        <v>0</v>
      </c>
      <c r="AP204" s="101">
        <f t="shared" si="261"/>
        <v>505.67796610169501</v>
      </c>
      <c r="AQ204" s="101">
        <f t="shared" si="297"/>
        <v>596.70000000000005</v>
      </c>
      <c r="AR204" s="102">
        <v>0</v>
      </c>
      <c r="AS204" s="101" t="s">
        <v>270</v>
      </c>
      <c r="AT204" s="103">
        <v>0</v>
      </c>
      <c r="AU204" s="103">
        <f t="shared" si="284"/>
        <v>5.0847457627118651</v>
      </c>
      <c r="AV204" s="103">
        <v>6</v>
      </c>
      <c r="AW204" s="103">
        <f t="shared" si="285"/>
        <v>0</v>
      </c>
      <c r="AX204" s="103">
        <f t="shared" si="289"/>
        <v>0</v>
      </c>
      <c r="AY204" s="104">
        <f t="shared" si="260"/>
        <v>505.67796610169501</v>
      </c>
      <c r="AZ204" s="105">
        <f t="shared" si="260"/>
        <v>596.70000000000005</v>
      </c>
      <c r="BA204" s="9"/>
      <c r="BB204" s="9"/>
      <c r="BC204" s="9"/>
      <c r="BD204" s="9"/>
      <c r="BE204" s="43"/>
      <c r="BF204" s="43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</row>
    <row r="205" spans="1:93" s="4" customFormat="1" ht="228.75" outlineLevel="1" x14ac:dyDescent="0.25">
      <c r="A205" s="97">
        <f t="shared" si="298"/>
        <v>163</v>
      </c>
      <c r="B205" s="98" t="s">
        <v>20</v>
      </c>
      <c r="C205" s="125" t="s">
        <v>176</v>
      </c>
      <c r="D205" s="99" t="s">
        <v>19</v>
      </c>
      <c r="E205" s="100">
        <f t="shared" si="295"/>
        <v>45</v>
      </c>
      <c r="F205" s="101">
        <v>0</v>
      </c>
      <c r="G205" s="101">
        <v>0</v>
      </c>
      <c r="H205" s="101">
        <v>0</v>
      </c>
      <c r="I205" s="101">
        <f t="shared" si="270"/>
        <v>0</v>
      </c>
      <c r="J205" s="100">
        <v>0</v>
      </c>
      <c r="K205" s="101">
        <f t="shared" si="264"/>
        <v>11.864406779661017</v>
      </c>
      <c r="L205" s="101">
        <v>14</v>
      </c>
      <c r="M205" s="101">
        <f t="shared" si="271"/>
        <v>0</v>
      </c>
      <c r="N205" s="102">
        <v>0</v>
      </c>
      <c r="O205" s="101">
        <f t="shared" si="272"/>
        <v>4.2372881355932206</v>
      </c>
      <c r="P205" s="101">
        <v>5</v>
      </c>
      <c r="Q205" s="101">
        <f t="shared" si="273"/>
        <v>0</v>
      </c>
      <c r="R205" s="100">
        <v>45</v>
      </c>
      <c r="S205" s="101">
        <f t="shared" si="274"/>
        <v>14.40677966101695</v>
      </c>
      <c r="T205" s="101">
        <v>17</v>
      </c>
      <c r="U205" s="101">
        <f t="shared" si="275"/>
        <v>765</v>
      </c>
      <c r="V205" s="101">
        <v>0</v>
      </c>
      <c r="W205" s="101">
        <f t="shared" si="300"/>
        <v>5.9322033898305087</v>
      </c>
      <c r="X205" s="101">
        <v>7</v>
      </c>
      <c r="Y205" s="101">
        <f t="shared" si="277"/>
        <v>0</v>
      </c>
      <c r="Z205" s="100">
        <v>0</v>
      </c>
      <c r="AA205" s="101">
        <f t="shared" si="266"/>
        <v>5.5084745762711869</v>
      </c>
      <c r="AB205" s="101">
        <v>6.5</v>
      </c>
      <c r="AC205" s="101">
        <f t="shared" si="278"/>
        <v>0</v>
      </c>
      <c r="AD205" s="101">
        <v>0</v>
      </c>
      <c r="AE205" s="101"/>
      <c r="AF205" s="101"/>
      <c r="AG205" s="101">
        <f t="shared" si="279"/>
        <v>0</v>
      </c>
      <c r="AH205" s="102">
        <v>0</v>
      </c>
      <c r="AI205" s="101">
        <f t="shared" si="267"/>
        <v>7.6271186440677967</v>
      </c>
      <c r="AJ205" s="110">
        <v>9</v>
      </c>
      <c r="AK205" s="101">
        <f t="shared" si="280"/>
        <v>0</v>
      </c>
      <c r="AL205" s="102">
        <v>0</v>
      </c>
      <c r="AM205" s="101">
        <f t="shared" si="281"/>
        <v>11.864406779661017</v>
      </c>
      <c r="AN205" s="101">
        <v>14</v>
      </c>
      <c r="AO205" s="101">
        <f t="shared" si="282"/>
        <v>0</v>
      </c>
      <c r="AP205" s="101">
        <f t="shared" si="261"/>
        <v>648.30508474576277</v>
      </c>
      <c r="AQ205" s="101">
        <f t="shared" si="297"/>
        <v>765</v>
      </c>
      <c r="AR205" s="102">
        <v>0</v>
      </c>
      <c r="AS205" s="101" t="s">
        <v>270</v>
      </c>
      <c r="AT205" s="103">
        <v>0</v>
      </c>
      <c r="AU205" s="103">
        <f t="shared" si="284"/>
        <v>5.0847457627118651</v>
      </c>
      <c r="AV205" s="103">
        <v>6</v>
      </c>
      <c r="AW205" s="103">
        <f t="shared" si="285"/>
        <v>0</v>
      </c>
      <c r="AX205" s="103">
        <f t="shared" si="289"/>
        <v>0</v>
      </c>
      <c r="AY205" s="104">
        <f t="shared" si="260"/>
        <v>648.30508474576277</v>
      </c>
      <c r="AZ205" s="105">
        <f t="shared" si="260"/>
        <v>765</v>
      </c>
      <c r="BA205" s="9"/>
      <c r="BB205" s="9"/>
      <c r="BC205" s="9"/>
      <c r="BD205" s="9"/>
      <c r="BE205" s="43"/>
      <c r="BF205" s="43"/>
      <c r="BG205" s="40"/>
      <c r="BH205" s="40"/>
      <c r="BI205" s="40"/>
      <c r="BJ205" s="40"/>
      <c r="BK205" s="40"/>
      <c r="BL205" s="40"/>
      <c r="BM205" s="40"/>
      <c r="BN205" s="40"/>
      <c r="BO205" s="40"/>
      <c r="BP205" s="40"/>
      <c r="BQ205" s="40"/>
      <c r="BR205" s="40"/>
      <c r="BS205" s="40"/>
      <c r="BT205" s="40"/>
      <c r="BU205" s="40"/>
      <c r="BV205" s="40"/>
      <c r="BW205" s="40"/>
      <c r="BX205" s="40"/>
      <c r="BY205" s="40"/>
      <c r="BZ205" s="40"/>
      <c r="CA205" s="40"/>
      <c r="CB205" s="40"/>
      <c r="CC205" s="40"/>
      <c r="CD205" s="40"/>
      <c r="CE205" s="40"/>
      <c r="CF205" s="40"/>
      <c r="CG205" s="40"/>
      <c r="CH205" s="40"/>
      <c r="CI205" s="40"/>
      <c r="CJ205" s="40"/>
      <c r="CK205" s="40"/>
      <c r="CL205" s="40"/>
      <c r="CM205" s="40"/>
      <c r="CN205" s="40"/>
      <c r="CO205" s="40"/>
    </row>
    <row r="206" spans="1:93" s="4" customFormat="1" ht="228.75" outlineLevel="1" x14ac:dyDescent="0.25">
      <c r="A206" s="97">
        <f t="shared" si="298"/>
        <v>164</v>
      </c>
      <c r="B206" s="98" t="s">
        <v>20</v>
      </c>
      <c r="C206" s="125" t="s">
        <v>177</v>
      </c>
      <c r="D206" s="99" t="s">
        <v>19</v>
      </c>
      <c r="E206" s="100">
        <f t="shared" si="295"/>
        <v>33.200000000000003</v>
      </c>
      <c r="F206" s="101">
        <v>0</v>
      </c>
      <c r="G206" s="101">
        <v>0</v>
      </c>
      <c r="H206" s="101">
        <v>0</v>
      </c>
      <c r="I206" s="101">
        <f t="shared" si="270"/>
        <v>0</v>
      </c>
      <c r="J206" s="100">
        <v>0</v>
      </c>
      <c r="K206" s="101">
        <f t="shared" si="264"/>
        <v>11.864406779661017</v>
      </c>
      <c r="L206" s="101">
        <v>14</v>
      </c>
      <c r="M206" s="101">
        <f t="shared" si="271"/>
        <v>0</v>
      </c>
      <c r="N206" s="102">
        <v>0</v>
      </c>
      <c r="O206" s="101">
        <f t="shared" si="272"/>
        <v>4.2372881355932206</v>
      </c>
      <c r="P206" s="101">
        <v>5</v>
      </c>
      <c r="Q206" s="101">
        <f t="shared" si="273"/>
        <v>0</v>
      </c>
      <c r="R206" s="100">
        <v>33.200000000000003</v>
      </c>
      <c r="S206" s="101">
        <f t="shared" si="274"/>
        <v>14.40677966101695</v>
      </c>
      <c r="T206" s="101">
        <v>17</v>
      </c>
      <c r="U206" s="101">
        <f t="shared" si="275"/>
        <v>564.40000000000009</v>
      </c>
      <c r="V206" s="101">
        <v>0</v>
      </c>
      <c r="W206" s="101">
        <v>4.2</v>
      </c>
      <c r="X206" s="101">
        <v>7</v>
      </c>
      <c r="Y206" s="101">
        <f t="shared" si="277"/>
        <v>0</v>
      </c>
      <c r="Z206" s="100">
        <v>0</v>
      </c>
      <c r="AA206" s="101">
        <f t="shared" si="266"/>
        <v>5.5084745762711869</v>
      </c>
      <c r="AB206" s="101">
        <v>6.5</v>
      </c>
      <c r="AC206" s="101">
        <f t="shared" si="278"/>
        <v>0</v>
      </c>
      <c r="AD206" s="101">
        <v>0</v>
      </c>
      <c r="AE206" s="101"/>
      <c r="AF206" s="101"/>
      <c r="AG206" s="101">
        <f t="shared" si="279"/>
        <v>0</v>
      </c>
      <c r="AH206" s="102">
        <v>0</v>
      </c>
      <c r="AI206" s="101">
        <f t="shared" si="267"/>
        <v>7.6271186440677967</v>
      </c>
      <c r="AJ206" s="110">
        <v>9</v>
      </c>
      <c r="AK206" s="101">
        <f t="shared" si="280"/>
        <v>0</v>
      </c>
      <c r="AL206" s="102">
        <v>0</v>
      </c>
      <c r="AM206" s="101">
        <f t="shared" si="281"/>
        <v>11.864406779661017</v>
      </c>
      <c r="AN206" s="101">
        <v>14</v>
      </c>
      <c r="AO206" s="101">
        <f t="shared" si="282"/>
        <v>0</v>
      </c>
      <c r="AP206" s="101">
        <f t="shared" si="261"/>
        <v>478.30508474576283</v>
      </c>
      <c r="AQ206" s="101">
        <f t="shared" si="297"/>
        <v>564.40000000000009</v>
      </c>
      <c r="AR206" s="102">
        <v>0</v>
      </c>
      <c r="AS206" s="101" t="s">
        <v>270</v>
      </c>
      <c r="AT206" s="103">
        <v>0</v>
      </c>
      <c r="AU206" s="103">
        <f t="shared" si="284"/>
        <v>5.0847457627118651</v>
      </c>
      <c r="AV206" s="103">
        <v>6</v>
      </c>
      <c r="AW206" s="103">
        <f t="shared" si="285"/>
        <v>0</v>
      </c>
      <c r="AX206" s="103">
        <f t="shared" si="289"/>
        <v>0</v>
      </c>
      <c r="AY206" s="104">
        <f t="shared" si="260"/>
        <v>478.30508474576283</v>
      </c>
      <c r="AZ206" s="105">
        <f t="shared" si="260"/>
        <v>564.40000000000009</v>
      </c>
      <c r="BA206" s="9"/>
      <c r="BB206" s="9"/>
      <c r="BC206" s="9"/>
      <c r="BD206" s="9"/>
      <c r="BE206" s="43"/>
      <c r="BF206" s="43"/>
      <c r="BG206" s="40"/>
      <c r="BH206" s="40"/>
      <c r="BI206" s="40"/>
      <c r="BJ206" s="40"/>
      <c r="BK206" s="40"/>
      <c r="BL206" s="40"/>
      <c r="BM206" s="40"/>
      <c r="BN206" s="40"/>
      <c r="BO206" s="40"/>
      <c r="BP206" s="40"/>
      <c r="BQ206" s="40"/>
      <c r="BR206" s="40"/>
      <c r="BS206" s="40"/>
      <c r="BT206" s="40"/>
      <c r="BU206" s="40"/>
      <c r="BV206" s="40"/>
      <c r="BW206" s="40"/>
      <c r="BX206" s="40"/>
      <c r="BY206" s="40"/>
      <c r="BZ206" s="40"/>
      <c r="CA206" s="40"/>
      <c r="CB206" s="40"/>
      <c r="CC206" s="40"/>
      <c r="CD206" s="40"/>
      <c r="CE206" s="40"/>
      <c r="CF206" s="40"/>
      <c r="CG206" s="40"/>
      <c r="CH206" s="40"/>
      <c r="CI206" s="40"/>
      <c r="CJ206" s="40"/>
      <c r="CK206" s="40"/>
      <c r="CL206" s="40"/>
      <c r="CM206" s="40"/>
      <c r="CN206" s="40"/>
      <c r="CO206" s="40"/>
    </row>
    <row r="207" spans="1:93" s="4" customFormat="1" ht="274.5" outlineLevel="1" x14ac:dyDescent="0.25">
      <c r="A207" s="97">
        <f t="shared" si="298"/>
        <v>165</v>
      </c>
      <c r="B207" s="98" t="s">
        <v>20</v>
      </c>
      <c r="C207" s="125" t="s">
        <v>178</v>
      </c>
      <c r="D207" s="99" t="s">
        <v>19</v>
      </c>
      <c r="E207" s="100">
        <f t="shared" si="295"/>
        <v>30.9</v>
      </c>
      <c r="F207" s="101">
        <v>0</v>
      </c>
      <c r="G207" s="101">
        <v>0</v>
      </c>
      <c r="H207" s="101">
        <v>0</v>
      </c>
      <c r="I207" s="101">
        <f t="shared" si="270"/>
        <v>0</v>
      </c>
      <c r="J207" s="100">
        <v>0</v>
      </c>
      <c r="K207" s="101">
        <f t="shared" si="264"/>
        <v>11.864406779661017</v>
      </c>
      <c r="L207" s="101">
        <v>14</v>
      </c>
      <c r="M207" s="101">
        <f t="shared" si="271"/>
        <v>0</v>
      </c>
      <c r="N207" s="102">
        <v>0</v>
      </c>
      <c r="O207" s="101">
        <f t="shared" si="272"/>
        <v>4.2372881355932206</v>
      </c>
      <c r="P207" s="101">
        <v>5</v>
      </c>
      <c r="Q207" s="101">
        <f t="shared" si="273"/>
        <v>0</v>
      </c>
      <c r="R207" s="100">
        <v>30.9</v>
      </c>
      <c r="S207" s="101">
        <f t="shared" si="274"/>
        <v>14.40677966101695</v>
      </c>
      <c r="T207" s="101">
        <v>17</v>
      </c>
      <c r="U207" s="101">
        <f t="shared" si="275"/>
        <v>525.29999999999995</v>
      </c>
      <c r="V207" s="101">
        <v>0</v>
      </c>
      <c r="W207" s="101">
        <f t="shared" ref="W207:W209" si="301">X207/1.18</f>
        <v>5.9322033898305087</v>
      </c>
      <c r="X207" s="101">
        <v>7</v>
      </c>
      <c r="Y207" s="101">
        <f t="shared" si="277"/>
        <v>0</v>
      </c>
      <c r="Z207" s="100">
        <v>0</v>
      </c>
      <c r="AA207" s="101">
        <f t="shared" si="266"/>
        <v>5.5084745762711869</v>
      </c>
      <c r="AB207" s="101">
        <v>6.5</v>
      </c>
      <c r="AC207" s="101">
        <f t="shared" si="278"/>
        <v>0</v>
      </c>
      <c r="AD207" s="101">
        <v>0</v>
      </c>
      <c r="AE207" s="101"/>
      <c r="AF207" s="101"/>
      <c r="AG207" s="101">
        <f t="shared" si="279"/>
        <v>0</v>
      </c>
      <c r="AH207" s="102">
        <v>0</v>
      </c>
      <c r="AI207" s="101">
        <f t="shared" si="267"/>
        <v>7.6271186440677967</v>
      </c>
      <c r="AJ207" s="110">
        <v>9</v>
      </c>
      <c r="AK207" s="101">
        <f t="shared" si="280"/>
        <v>0</v>
      </c>
      <c r="AL207" s="102">
        <v>0</v>
      </c>
      <c r="AM207" s="101">
        <f t="shared" si="281"/>
        <v>11.864406779661017</v>
      </c>
      <c r="AN207" s="101">
        <v>14</v>
      </c>
      <c r="AO207" s="101">
        <f t="shared" si="282"/>
        <v>0</v>
      </c>
      <c r="AP207" s="101">
        <f t="shared" si="261"/>
        <v>445.16949152542372</v>
      </c>
      <c r="AQ207" s="101">
        <f t="shared" si="297"/>
        <v>525.29999999999995</v>
      </c>
      <c r="AR207" s="102">
        <v>0</v>
      </c>
      <c r="AS207" s="101" t="s">
        <v>270</v>
      </c>
      <c r="AT207" s="103">
        <v>0</v>
      </c>
      <c r="AU207" s="103">
        <f t="shared" si="284"/>
        <v>5.0847457627118651</v>
      </c>
      <c r="AV207" s="103">
        <v>6</v>
      </c>
      <c r="AW207" s="103">
        <f t="shared" si="285"/>
        <v>0</v>
      </c>
      <c r="AX207" s="103">
        <f t="shared" si="289"/>
        <v>0</v>
      </c>
      <c r="AY207" s="104">
        <f t="shared" si="260"/>
        <v>445.16949152542372</v>
      </c>
      <c r="AZ207" s="105">
        <f t="shared" si="260"/>
        <v>525.29999999999995</v>
      </c>
      <c r="BA207" s="9"/>
      <c r="BB207" s="9"/>
      <c r="BC207" s="9"/>
      <c r="BD207" s="9"/>
      <c r="BE207" s="43"/>
      <c r="BF207" s="43"/>
      <c r="BG207" s="40"/>
      <c r="BH207" s="40"/>
      <c r="BI207" s="40"/>
      <c r="BJ207" s="40"/>
      <c r="BK207" s="40"/>
      <c r="BL207" s="40"/>
      <c r="BM207" s="40"/>
      <c r="BN207" s="40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40"/>
      <c r="CA207" s="40"/>
      <c r="CB207" s="40"/>
      <c r="CC207" s="40"/>
      <c r="CD207" s="40"/>
      <c r="CE207" s="40"/>
      <c r="CF207" s="40"/>
      <c r="CG207" s="40"/>
      <c r="CH207" s="40"/>
      <c r="CI207" s="40"/>
      <c r="CJ207" s="40"/>
      <c r="CK207" s="40"/>
      <c r="CL207" s="40"/>
      <c r="CM207" s="40"/>
      <c r="CN207" s="40"/>
      <c r="CO207" s="40"/>
    </row>
    <row r="208" spans="1:93" s="4" customFormat="1" ht="320.25" outlineLevel="1" x14ac:dyDescent="0.25">
      <c r="A208" s="97">
        <f t="shared" si="298"/>
        <v>166</v>
      </c>
      <c r="B208" s="98" t="s">
        <v>20</v>
      </c>
      <c r="C208" s="125" t="s">
        <v>183</v>
      </c>
      <c r="D208" s="99" t="s">
        <v>19</v>
      </c>
      <c r="E208" s="100">
        <f t="shared" si="295"/>
        <v>75.099999999999994</v>
      </c>
      <c r="F208" s="101">
        <v>0</v>
      </c>
      <c r="G208" s="101">
        <v>0</v>
      </c>
      <c r="H208" s="101">
        <v>0</v>
      </c>
      <c r="I208" s="101">
        <f t="shared" si="270"/>
        <v>0</v>
      </c>
      <c r="J208" s="100">
        <v>0</v>
      </c>
      <c r="K208" s="101">
        <f t="shared" si="264"/>
        <v>11.864406779661017</v>
      </c>
      <c r="L208" s="101">
        <v>14</v>
      </c>
      <c r="M208" s="101">
        <f t="shared" si="271"/>
        <v>0</v>
      </c>
      <c r="N208" s="102">
        <v>0</v>
      </c>
      <c r="O208" s="101">
        <f t="shared" si="272"/>
        <v>4.2372881355932206</v>
      </c>
      <c r="P208" s="101">
        <v>5</v>
      </c>
      <c r="Q208" s="101">
        <f t="shared" si="273"/>
        <v>0</v>
      </c>
      <c r="R208" s="100">
        <v>4.8</v>
      </c>
      <c r="S208" s="101">
        <f t="shared" si="274"/>
        <v>14.40677966101695</v>
      </c>
      <c r="T208" s="101">
        <v>17</v>
      </c>
      <c r="U208" s="101">
        <f t="shared" si="275"/>
        <v>81.599999999999994</v>
      </c>
      <c r="V208" s="101">
        <v>0</v>
      </c>
      <c r="W208" s="101">
        <f t="shared" si="301"/>
        <v>5.9322033898305087</v>
      </c>
      <c r="X208" s="101">
        <v>7</v>
      </c>
      <c r="Y208" s="101">
        <f t="shared" si="277"/>
        <v>0</v>
      </c>
      <c r="Z208" s="100">
        <v>57.4</v>
      </c>
      <c r="AA208" s="101">
        <f t="shared" si="266"/>
        <v>5.5084745762711869</v>
      </c>
      <c r="AB208" s="101">
        <v>6.5</v>
      </c>
      <c r="AC208" s="101">
        <f t="shared" si="278"/>
        <v>373.09999999999997</v>
      </c>
      <c r="AD208" s="101">
        <v>0</v>
      </c>
      <c r="AE208" s="101"/>
      <c r="AF208" s="101"/>
      <c r="AG208" s="101">
        <f t="shared" si="279"/>
        <v>0</v>
      </c>
      <c r="AH208" s="102">
        <v>0</v>
      </c>
      <c r="AI208" s="101">
        <f t="shared" si="267"/>
        <v>7.6271186440677967</v>
      </c>
      <c r="AJ208" s="110">
        <v>9</v>
      </c>
      <c r="AK208" s="101">
        <f t="shared" si="280"/>
        <v>0</v>
      </c>
      <c r="AL208" s="102">
        <v>12.9</v>
      </c>
      <c r="AM208" s="101">
        <f t="shared" si="281"/>
        <v>11.864406779661017</v>
      </c>
      <c r="AN208" s="101">
        <v>14</v>
      </c>
      <c r="AO208" s="101">
        <f t="shared" si="282"/>
        <v>180.6</v>
      </c>
      <c r="AP208" s="101">
        <f t="shared" si="261"/>
        <v>538.38983050847457</v>
      </c>
      <c r="AQ208" s="101">
        <f t="shared" si="297"/>
        <v>635.29999999999995</v>
      </c>
      <c r="AR208" s="102">
        <v>0</v>
      </c>
      <c r="AS208" s="101" t="s">
        <v>270</v>
      </c>
      <c r="AT208" s="103">
        <v>0</v>
      </c>
      <c r="AU208" s="103">
        <f t="shared" si="284"/>
        <v>5.0847457627118651</v>
      </c>
      <c r="AV208" s="103">
        <v>6</v>
      </c>
      <c r="AW208" s="103">
        <f t="shared" si="285"/>
        <v>0</v>
      </c>
      <c r="AX208" s="103">
        <f t="shared" si="289"/>
        <v>0</v>
      </c>
      <c r="AY208" s="104">
        <f t="shared" si="260"/>
        <v>538.38983050847457</v>
      </c>
      <c r="AZ208" s="105">
        <f t="shared" si="260"/>
        <v>635.29999999999995</v>
      </c>
      <c r="BA208" s="9"/>
      <c r="BB208" s="9"/>
      <c r="BC208" s="9"/>
      <c r="BD208" s="9"/>
      <c r="BE208" s="43"/>
      <c r="BF208" s="43"/>
      <c r="BG208" s="40"/>
      <c r="BH208" s="40"/>
      <c r="BI208" s="40"/>
      <c r="BJ208" s="40"/>
      <c r="BK208" s="40"/>
      <c r="BL208" s="40"/>
      <c r="BM208" s="40"/>
      <c r="BN208" s="40"/>
      <c r="BO208" s="40"/>
      <c r="BP208" s="40"/>
      <c r="BQ208" s="40"/>
      <c r="BR208" s="40"/>
      <c r="BS208" s="40"/>
      <c r="BT208" s="40"/>
      <c r="BU208" s="40"/>
      <c r="BV208" s="40"/>
      <c r="BW208" s="40"/>
      <c r="BX208" s="40"/>
      <c r="BY208" s="40"/>
      <c r="BZ208" s="40"/>
      <c r="CA208" s="40"/>
      <c r="CB208" s="40"/>
      <c r="CC208" s="40"/>
      <c r="CD208" s="40"/>
      <c r="CE208" s="40"/>
      <c r="CF208" s="40"/>
      <c r="CG208" s="40"/>
      <c r="CH208" s="40"/>
      <c r="CI208" s="40"/>
      <c r="CJ208" s="40"/>
      <c r="CK208" s="40"/>
      <c r="CL208" s="40"/>
      <c r="CM208" s="40"/>
      <c r="CN208" s="40"/>
      <c r="CO208" s="40"/>
    </row>
    <row r="209" spans="1:93" s="4" customFormat="1" ht="320.25" outlineLevel="1" x14ac:dyDescent="0.25">
      <c r="A209" s="97">
        <f t="shared" si="298"/>
        <v>167</v>
      </c>
      <c r="B209" s="98" t="s">
        <v>20</v>
      </c>
      <c r="C209" s="125" t="s">
        <v>179</v>
      </c>
      <c r="D209" s="99" t="s">
        <v>19</v>
      </c>
      <c r="E209" s="100">
        <f t="shared" si="295"/>
        <v>50.3</v>
      </c>
      <c r="F209" s="101">
        <v>0</v>
      </c>
      <c r="G209" s="101">
        <v>0</v>
      </c>
      <c r="H209" s="101">
        <v>0</v>
      </c>
      <c r="I209" s="101">
        <f t="shared" si="270"/>
        <v>0</v>
      </c>
      <c r="J209" s="100">
        <v>0</v>
      </c>
      <c r="K209" s="101">
        <f t="shared" si="264"/>
        <v>11.864406779661017</v>
      </c>
      <c r="L209" s="101">
        <v>14</v>
      </c>
      <c r="M209" s="101">
        <f t="shared" si="271"/>
        <v>0</v>
      </c>
      <c r="N209" s="102">
        <v>0</v>
      </c>
      <c r="O209" s="101">
        <f t="shared" si="272"/>
        <v>4.2372881355932206</v>
      </c>
      <c r="P209" s="101">
        <v>5</v>
      </c>
      <c r="Q209" s="101">
        <f t="shared" si="273"/>
        <v>0</v>
      </c>
      <c r="R209" s="100">
        <v>50.3</v>
      </c>
      <c r="S209" s="101">
        <f t="shared" si="274"/>
        <v>14.40677966101695</v>
      </c>
      <c r="T209" s="101">
        <v>17</v>
      </c>
      <c r="U209" s="101">
        <f t="shared" si="275"/>
        <v>855.09999999999991</v>
      </c>
      <c r="V209" s="101">
        <v>0</v>
      </c>
      <c r="W209" s="101">
        <f t="shared" si="301"/>
        <v>5.9322033898305087</v>
      </c>
      <c r="X209" s="101">
        <v>7</v>
      </c>
      <c r="Y209" s="101">
        <f t="shared" si="277"/>
        <v>0</v>
      </c>
      <c r="Z209" s="100">
        <v>0</v>
      </c>
      <c r="AA209" s="101">
        <f t="shared" si="266"/>
        <v>5.5084745762711869</v>
      </c>
      <c r="AB209" s="101">
        <v>6.5</v>
      </c>
      <c r="AC209" s="101">
        <f t="shared" si="278"/>
        <v>0</v>
      </c>
      <c r="AD209" s="101">
        <v>0</v>
      </c>
      <c r="AE209" s="101"/>
      <c r="AF209" s="101"/>
      <c r="AG209" s="101">
        <f t="shared" si="279"/>
        <v>0</v>
      </c>
      <c r="AH209" s="102">
        <v>0</v>
      </c>
      <c r="AI209" s="101">
        <f t="shared" si="267"/>
        <v>7.6271186440677967</v>
      </c>
      <c r="AJ209" s="110">
        <v>9</v>
      </c>
      <c r="AK209" s="101">
        <f t="shared" si="280"/>
        <v>0</v>
      </c>
      <c r="AL209" s="102">
        <v>0</v>
      </c>
      <c r="AM209" s="101">
        <f t="shared" si="281"/>
        <v>11.864406779661017</v>
      </c>
      <c r="AN209" s="101">
        <v>14</v>
      </c>
      <c r="AO209" s="101">
        <f t="shared" si="282"/>
        <v>0</v>
      </c>
      <c r="AP209" s="101">
        <f t="shared" si="261"/>
        <v>724.66101694915255</v>
      </c>
      <c r="AQ209" s="101">
        <f t="shared" si="297"/>
        <v>855.09999999999991</v>
      </c>
      <c r="AR209" s="102">
        <v>0</v>
      </c>
      <c r="AS209" s="101" t="s">
        <v>270</v>
      </c>
      <c r="AT209" s="103">
        <v>0</v>
      </c>
      <c r="AU209" s="103">
        <f t="shared" si="284"/>
        <v>5.0847457627118651</v>
      </c>
      <c r="AV209" s="103">
        <v>6</v>
      </c>
      <c r="AW209" s="103">
        <f t="shared" si="285"/>
        <v>0</v>
      </c>
      <c r="AX209" s="103">
        <f t="shared" si="289"/>
        <v>0</v>
      </c>
      <c r="AY209" s="104">
        <f t="shared" si="260"/>
        <v>724.66101694915255</v>
      </c>
      <c r="AZ209" s="105">
        <f t="shared" si="260"/>
        <v>855.09999999999991</v>
      </c>
      <c r="BA209" s="9"/>
      <c r="BB209" s="9"/>
      <c r="BC209" s="9"/>
      <c r="BD209" s="9"/>
      <c r="BE209" s="43"/>
      <c r="BF209" s="43"/>
      <c r="BG209" s="40"/>
      <c r="BH209" s="40"/>
      <c r="BI209" s="40"/>
      <c r="BJ209" s="40"/>
      <c r="BK209" s="40"/>
      <c r="BL209" s="40"/>
      <c r="BM209" s="40"/>
      <c r="BN209" s="40"/>
      <c r="BO209" s="40"/>
      <c r="BP209" s="40"/>
      <c r="BQ209" s="40"/>
      <c r="BR209" s="40"/>
      <c r="BS209" s="40"/>
      <c r="BT209" s="40"/>
      <c r="BU209" s="40"/>
      <c r="BV209" s="40"/>
      <c r="BW209" s="40"/>
      <c r="BX209" s="40"/>
      <c r="BY209" s="40"/>
      <c r="BZ209" s="40"/>
      <c r="CA209" s="40"/>
      <c r="CB209" s="40"/>
      <c r="CC209" s="40"/>
      <c r="CD209" s="40"/>
      <c r="CE209" s="40"/>
      <c r="CF209" s="40"/>
      <c r="CG209" s="40"/>
      <c r="CH209" s="40"/>
      <c r="CI209" s="40"/>
      <c r="CJ209" s="40"/>
      <c r="CK209" s="40"/>
      <c r="CL209" s="40"/>
      <c r="CM209" s="40"/>
      <c r="CN209" s="40"/>
      <c r="CO209" s="40"/>
    </row>
    <row r="210" spans="1:93" s="4" customFormat="1" ht="228.75" outlineLevel="1" x14ac:dyDescent="0.25">
      <c r="A210" s="97">
        <f t="shared" si="298"/>
        <v>168</v>
      </c>
      <c r="B210" s="98" t="s">
        <v>216</v>
      </c>
      <c r="C210" s="125" t="s">
        <v>180</v>
      </c>
      <c r="D210" s="99" t="s">
        <v>19</v>
      </c>
      <c r="E210" s="100">
        <f t="shared" si="295"/>
        <v>47</v>
      </c>
      <c r="F210" s="101">
        <v>0</v>
      </c>
      <c r="G210" s="101">
        <v>0</v>
      </c>
      <c r="H210" s="101">
        <v>0</v>
      </c>
      <c r="I210" s="101">
        <f t="shared" si="270"/>
        <v>0</v>
      </c>
      <c r="J210" s="100">
        <v>0</v>
      </c>
      <c r="K210" s="101">
        <f t="shared" si="264"/>
        <v>11.864406779661017</v>
      </c>
      <c r="L210" s="101">
        <v>14</v>
      </c>
      <c r="M210" s="101">
        <f t="shared" si="271"/>
        <v>0</v>
      </c>
      <c r="N210" s="102">
        <v>0</v>
      </c>
      <c r="O210" s="101">
        <f t="shared" si="272"/>
        <v>4.2372881355932206</v>
      </c>
      <c r="P210" s="101">
        <v>5</v>
      </c>
      <c r="Q210" s="101">
        <f t="shared" si="273"/>
        <v>0</v>
      </c>
      <c r="R210" s="100">
        <v>9</v>
      </c>
      <c r="S210" s="101">
        <f t="shared" si="274"/>
        <v>14.40677966101695</v>
      </c>
      <c r="T210" s="101">
        <v>17</v>
      </c>
      <c r="U210" s="101">
        <f t="shared" si="275"/>
        <v>153</v>
      </c>
      <c r="V210" s="101">
        <v>0</v>
      </c>
      <c r="W210" s="101">
        <v>4.2</v>
      </c>
      <c r="X210" s="101">
        <v>7</v>
      </c>
      <c r="Y210" s="101">
        <f t="shared" si="277"/>
        <v>0</v>
      </c>
      <c r="Z210" s="100">
        <v>35</v>
      </c>
      <c r="AA210" s="101">
        <f t="shared" si="266"/>
        <v>5.5084745762711869</v>
      </c>
      <c r="AB210" s="101">
        <v>6.5</v>
      </c>
      <c r="AC210" s="101">
        <f t="shared" si="278"/>
        <v>227.5</v>
      </c>
      <c r="AD210" s="101">
        <v>0</v>
      </c>
      <c r="AE210" s="101"/>
      <c r="AF210" s="101"/>
      <c r="AG210" s="101">
        <f t="shared" si="279"/>
        <v>0</v>
      </c>
      <c r="AH210" s="102">
        <v>0</v>
      </c>
      <c r="AI210" s="101">
        <f t="shared" si="267"/>
        <v>7.6271186440677967</v>
      </c>
      <c r="AJ210" s="110">
        <v>9</v>
      </c>
      <c r="AK210" s="101">
        <f t="shared" si="280"/>
        <v>0</v>
      </c>
      <c r="AL210" s="102">
        <v>3</v>
      </c>
      <c r="AM210" s="101">
        <f t="shared" si="281"/>
        <v>11.864406779661017</v>
      </c>
      <c r="AN210" s="101">
        <v>14</v>
      </c>
      <c r="AO210" s="101">
        <f t="shared" si="282"/>
        <v>42</v>
      </c>
      <c r="AP210" s="101">
        <f t="shared" si="261"/>
        <v>358.05084745762713</v>
      </c>
      <c r="AQ210" s="101">
        <f t="shared" si="297"/>
        <v>422.5</v>
      </c>
      <c r="AR210" s="102">
        <v>150</v>
      </c>
      <c r="AS210" s="101" t="s">
        <v>270</v>
      </c>
      <c r="AT210" s="103">
        <v>0</v>
      </c>
      <c r="AU210" s="103">
        <f t="shared" si="284"/>
        <v>5.0847457627118651</v>
      </c>
      <c r="AV210" s="103">
        <v>6</v>
      </c>
      <c r="AW210" s="103">
        <f t="shared" si="285"/>
        <v>762.7118644067798</v>
      </c>
      <c r="AX210" s="103">
        <f t="shared" si="289"/>
        <v>900</v>
      </c>
      <c r="AY210" s="104">
        <f t="shared" si="260"/>
        <v>1120.7627118644068</v>
      </c>
      <c r="AZ210" s="105">
        <f t="shared" si="260"/>
        <v>1322.5</v>
      </c>
      <c r="BA210" s="9"/>
      <c r="BB210" s="9"/>
      <c r="BC210" s="9"/>
      <c r="BD210" s="9"/>
      <c r="BE210" s="43"/>
      <c r="BF210" s="43"/>
      <c r="BG210" s="40"/>
      <c r="BH210" s="40"/>
      <c r="BI210" s="40"/>
      <c r="BJ210" s="40"/>
      <c r="BK210" s="40"/>
      <c r="BL210" s="40"/>
      <c r="BM210" s="40"/>
      <c r="BN210" s="40"/>
      <c r="BO210" s="40"/>
      <c r="BP210" s="40"/>
      <c r="BQ210" s="40"/>
      <c r="BR210" s="40"/>
      <c r="BS210" s="40"/>
      <c r="BT210" s="40"/>
      <c r="BU210" s="40"/>
      <c r="BV210" s="40"/>
      <c r="BW210" s="40"/>
      <c r="BX210" s="40"/>
      <c r="BY210" s="40"/>
      <c r="BZ210" s="40"/>
      <c r="CA210" s="40"/>
      <c r="CB210" s="40"/>
      <c r="CC210" s="40"/>
      <c r="CD210" s="40"/>
      <c r="CE210" s="40"/>
      <c r="CF210" s="40"/>
      <c r="CG210" s="40"/>
      <c r="CH210" s="40"/>
      <c r="CI210" s="40"/>
      <c r="CJ210" s="40"/>
      <c r="CK210" s="40"/>
      <c r="CL210" s="40"/>
      <c r="CM210" s="40"/>
      <c r="CN210" s="40"/>
      <c r="CO210" s="40"/>
    </row>
    <row r="211" spans="1:93" s="4" customFormat="1" ht="183" outlineLevel="1" x14ac:dyDescent="0.25">
      <c r="A211" s="97">
        <f>A210+1</f>
        <v>169</v>
      </c>
      <c r="B211" s="98" t="s">
        <v>217</v>
      </c>
      <c r="C211" s="125" t="s">
        <v>228</v>
      </c>
      <c r="D211" s="99" t="s">
        <v>19</v>
      </c>
      <c r="E211" s="100">
        <f t="shared" si="295"/>
        <v>120.39999999999999</v>
      </c>
      <c r="F211" s="101">
        <v>0</v>
      </c>
      <c r="G211" s="101">
        <v>0</v>
      </c>
      <c r="H211" s="101">
        <v>0</v>
      </c>
      <c r="I211" s="101">
        <f t="shared" si="270"/>
        <v>0</v>
      </c>
      <c r="J211" s="100">
        <v>0</v>
      </c>
      <c r="K211" s="101">
        <f t="shared" si="264"/>
        <v>11.864406779661017</v>
      </c>
      <c r="L211" s="101">
        <v>14</v>
      </c>
      <c r="M211" s="101">
        <f t="shared" si="271"/>
        <v>0</v>
      </c>
      <c r="N211" s="102">
        <v>0</v>
      </c>
      <c r="O211" s="101">
        <f t="shared" si="272"/>
        <v>4.2372881355932206</v>
      </c>
      <c r="P211" s="101">
        <v>5</v>
      </c>
      <c r="Q211" s="101">
        <f t="shared" si="273"/>
        <v>0</v>
      </c>
      <c r="R211" s="100">
        <v>83.3</v>
      </c>
      <c r="S211" s="101">
        <f t="shared" si="274"/>
        <v>14.40677966101695</v>
      </c>
      <c r="T211" s="101">
        <v>17</v>
      </c>
      <c r="U211" s="101">
        <f t="shared" si="275"/>
        <v>1416.1</v>
      </c>
      <c r="V211" s="101">
        <v>0</v>
      </c>
      <c r="W211" s="101">
        <f t="shared" ref="W211:W212" si="302">X211/1.18</f>
        <v>5.9322033898305087</v>
      </c>
      <c r="X211" s="101">
        <v>7</v>
      </c>
      <c r="Y211" s="101">
        <f t="shared" si="277"/>
        <v>0</v>
      </c>
      <c r="Z211" s="100">
        <v>33.9</v>
      </c>
      <c r="AA211" s="101">
        <f t="shared" si="266"/>
        <v>5.5084745762711869</v>
      </c>
      <c r="AB211" s="101">
        <v>6.5</v>
      </c>
      <c r="AC211" s="101">
        <f t="shared" si="278"/>
        <v>220.35</v>
      </c>
      <c r="AD211" s="101">
        <v>0</v>
      </c>
      <c r="AE211" s="101"/>
      <c r="AF211" s="101"/>
      <c r="AG211" s="101">
        <f t="shared" si="279"/>
        <v>0</v>
      </c>
      <c r="AH211" s="102">
        <v>0</v>
      </c>
      <c r="AI211" s="101">
        <f t="shared" si="267"/>
        <v>7.6271186440677967</v>
      </c>
      <c r="AJ211" s="110">
        <v>9</v>
      </c>
      <c r="AK211" s="101">
        <f t="shared" si="280"/>
        <v>0</v>
      </c>
      <c r="AL211" s="102">
        <v>3.2</v>
      </c>
      <c r="AM211" s="101">
        <f t="shared" si="281"/>
        <v>11.864406779661017</v>
      </c>
      <c r="AN211" s="101">
        <v>14</v>
      </c>
      <c r="AO211" s="101">
        <f t="shared" si="282"/>
        <v>44.800000000000004</v>
      </c>
      <c r="AP211" s="101">
        <f t="shared" si="261"/>
        <v>1424.7881355932202</v>
      </c>
      <c r="AQ211" s="101">
        <f t="shared" si="297"/>
        <v>1681.2499999999998</v>
      </c>
      <c r="AR211" s="102">
        <v>0</v>
      </c>
      <c r="AS211" s="101" t="s">
        <v>270</v>
      </c>
      <c r="AT211" s="103">
        <v>0</v>
      </c>
      <c r="AU211" s="103">
        <f t="shared" si="284"/>
        <v>5.0847457627118651</v>
      </c>
      <c r="AV211" s="103">
        <v>6</v>
      </c>
      <c r="AW211" s="103">
        <f t="shared" si="285"/>
        <v>0</v>
      </c>
      <c r="AX211" s="103">
        <f t="shared" si="289"/>
        <v>0</v>
      </c>
      <c r="AY211" s="104">
        <f t="shared" si="260"/>
        <v>1424.7881355932202</v>
      </c>
      <c r="AZ211" s="105">
        <f t="shared" si="260"/>
        <v>1681.2499999999998</v>
      </c>
      <c r="BA211" s="9"/>
      <c r="BB211" s="9"/>
      <c r="BC211" s="9"/>
      <c r="BD211" s="9"/>
      <c r="BE211" s="43"/>
      <c r="BF211" s="43"/>
      <c r="BG211" s="40"/>
      <c r="BH211" s="40"/>
      <c r="BI211" s="40"/>
      <c r="BJ211" s="40"/>
      <c r="BK211" s="40"/>
      <c r="BL211" s="40"/>
      <c r="BM211" s="40"/>
      <c r="BN211" s="40"/>
      <c r="BO211" s="40"/>
      <c r="BP211" s="40"/>
      <c r="BQ211" s="40"/>
      <c r="BR211" s="40"/>
      <c r="BS211" s="40"/>
      <c r="BT211" s="40"/>
      <c r="BU211" s="40"/>
      <c r="BV211" s="40"/>
      <c r="BW211" s="40"/>
      <c r="BX211" s="40"/>
      <c r="BY211" s="40"/>
      <c r="BZ211" s="40"/>
      <c r="CA211" s="40"/>
      <c r="CB211" s="40"/>
      <c r="CC211" s="40"/>
      <c r="CD211" s="40"/>
      <c r="CE211" s="40"/>
      <c r="CF211" s="40"/>
      <c r="CG211" s="40"/>
      <c r="CH211" s="40"/>
      <c r="CI211" s="40"/>
      <c r="CJ211" s="40"/>
      <c r="CK211" s="40"/>
      <c r="CL211" s="40"/>
      <c r="CM211" s="40"/>
      <c r="CN211" s="40"/>
      <c r="CO211" s="40"/>
    </row>
    <row r="212" spans="1:93" s="4" customFormat="1" ht="183" outlineLevel="1" x14ac:dyDescent="0.25">
      <c r="A212" s="97">
        <f t="shared" si="298"/>
        <v>170</v>
      </c>
      <c r="B212" s="98" t="s">
        <v>218</v>
      </c>
      <c r="C212" s="125" t="s">
        <v>229</v>
      </c>
      <c r="D212" s="99" t="s">
        <v>19</v>
      </c>
      <c r="E212" s="100">
        <f t="shared" si="295"/>
        <v>51.5</v>
      </c>
      <c r="F212" s="101">
        <v>0</v>
      </c>
      <c r="G212" s="101">
        <v>0</v>
      </c>
      <c r="H212" s="101">
        <v>0</v>
      </c>
      <c r="I212" s="101">
        <f t="shared" si="270"/>
        <v>0</v>
      </c>
      <c r="J212" s="100">
        <v>0</v>
      </c>
      <c r="K212" s="101">
        <f t="shared" si="264"/>
        <v>11.864406779661017</v>
      </c>
      <c r="L212" s="101">
        <v>14</v>
      </c>
      <c r="M212" s="101">
        <f t="shared" si="271"/>
        <v>0</v>
      </c>
      <c r="N212" s="102">
        <v>0</v>
      </c>
      <c r="O212" s="101">
        <f t="shared" si="272"/>
        <v>4.2372881355932206</v>
      </c>
      <c r="P212" s="101">
        <v>5</v>
      </c>
      <c r="Q212" s="101">
        <f t="shared" si="273"/>
        <v>0</v>
      </c>
      <c r="R212" s="100">
        <v>51.5</v>
      </c>
      <c r="S212" s="101">
        <f t="shared" si="274"/>
        <v>14.40677966101695</v>
      </c>
      <c r="T212" s="101">
        <v>17</v>
      </c>
      <c r="U212" s="101">
        <f t="shared" si="275"/>
        <v>875.5</v>
      </c>
      <c r="V212" s="101">
        <v>0</v>
      </c>
      <c r="W212" s="101">
        <f t="shared" si="302"/>
        <v>5.9322033898305087</v>
      </c>
      <c r="X212" s="101">
        <v>7</v>
      </c>
      <c r="Y212" s="101">
        <f t="shared" si="277"/>
        <v>0</v>
      </c>
      <c r="Z212" s="100">
        <v>0</v>
      </c>
      <c r="AA212" s="101">
        <f t="shared" si="266"/>
        <v>5.5084745762711869</v>
      </c>
      <c r="AB212" s="101">
        <v>6.5</v>
      </c>
      <c r="AC212" s="101">
        <f t="shared" si="278"/>
        <v>0</v>
      </c>
      <c r="AD212" s="101">
        <v>0</v>
      </c>
      <c r="AE212" s="101"/>
      <c r="AF212" s="101"/>
      <c r="AG212" s="101">
        <f t="shared" si="279"/>
        <v>0</v>
      </c>
      <c r="AH212" s="102">
        <v>0</v>
      </c>
      <c r="AI212" s="101">
        <f t="shared" si="267"/>
        <v>7.6271186440677967</v>
      </c>
      <c r="AJ212" s="110">
        <v>9</v>
      </c>
      <c r="AK212" s="101">
        <f t="shared" si="280"/>
        <v>0</v>
      </c>
      <c r="AL212" s="102">
        <v>0</v>
      </c>
      <c r="AM212" s="101">
        <f t="shared" si="281"/>
        <v>11.864406779661017</v>
      </c>
      <c r="AN212" s="101">
        <v>14</v>
      </c>
      <c r="AO212" s="101">
        <f t="shared" si="282"/>
        <v>0</v>
      </c>
      <c r="AP212" s="101">
        <f t="shared" si="261"/>
        <v>741.94915254237287</v>
      </c>
      <c r="AQ212" s="101">
        <f t="shared" si="297"/>
        <v>875.5</v>
      </c>
      <c r="AR212" s="102">
        <v>0</v>
      </c>
      <c r="AS212" s="101" t="s">
        <v>270</v>
      </c>
      <c r="AT212" s="103">
        <v>0</v>
      </c>
      <c r="AU212" s="103">
        <f t="shared" si="284"/>
        <v>5.0847457627118651</v>
      </c>
      <c r="AV212" s="103">
        <v>6</v>
      </c>
      <c r="AW212" s="103">
        <f t="shared" si="285"/>
        <v>0</v>
      </c>
      <c r="AX212" s="103">
        <f t="shared" si="289"/>
        <v>0</v>
      </c>
      <c r="AY212" s="104">
        <f t="shared" si="260"/>
        <v>741.94915254237287</v>
      </c>
      <c r="AZ212" s="105">
        <f t="shared" si="260"/>
        <v>875.5</v>
      </c>
      <c r="BA212" s="9"/>
      <c r="BB212" s="9"/>
      <c r="BC212" s="9"/>
      <c r="BD212" s="9"/>
      <c r="BE212" s="43"/>
      <c r="BF212" s="43"/>
      <c r="BG212" s="40"/>
      <c r="BH212" s="40"/>
      <c r="BI212" s="40"/>
      <c r="BJ212" s="40"/>
      <c r="BK212" s="40"/>
      <c r="BL212" s="40"/>
      <c r="BM212" s="40"/>
      <c r="BN212" s="40"/>
      <c r="BO212" s="40"/>
      <c r="BP212" s="40"/>
      <c r="BQ212" s="40"/>
      <c r="BR212" s="40"/>
      <c r="BS212" s="40"/>
      <c r="BT212" s="40"/>
      <c r="BU212" s="40"/>
      <c r="BV212" s="40"/>
      <c r="BW212" s="40"/>
      <c r="BX212" s="40"/>
      <c r="BY212" s="40"/>
      <c r="BZ212" s="40"/>
      <c r="CA212" s="40"/>
      <c r="CB212" s="40"/>
      <c r="CC212" s="40"/>
      <c r="CD212" s="40"/>
      <c r="CE212" s="40"/>
      <c r="CF212" s="40"/>
      <c r="CG212" s="40"/>
      <c r="CH212" s="40"/>
      <c r="CI212" s="40"/>
      <c r="CJ212" s="40"/>
      <c r="CK212" s="40"/>
      <c r="CL212" s="40"/>
      <c r="CM212" s="40"/>
      <c r="CN212" s="40"/>
      <c r="CO212" s="40"/>
    </row>
    <row r="213" spans="1:93" s="4" customFormat="1" ht="183" outlineLevel="1" x14ac:dyDescent="0.25">
      <c r="A213" s="97">
        <f t="shared" si="298"/>
        <v>171</v>
      </c>
      <c r="B213" s="98" t="s">
        <v>217</v>
      </c>
      <c r="C213" s="125" t="s">
        <v>230</v>
      </c>
      <c r="D213" s="99" t="s">
        <v>19</v>
      </c>
      <c r="E213" s="100">
        <f t="shared" si="295"/>
        <v>50.4</v>
      </c>
      <c r="F213" s="101">
        <v>0</v>
      </c>
      <c r="G213" s="101">
        <v>0</v>
      </c>
      <c r="H213" s="101">
        <v>0</v>
      </c>
      <c r="I213" s="101">
        <f t="shared" si="270"/>
        <v>0</v>
      </c>
      <c r="J213" s="100">
        <v>0</v>
      </c>
      <c r="K213" s="101">
        <f t="shared" si="264"/>
        <v>11.864406779661017</v>
      </c>
      <c r="L213" s="101">
        <v>14</v>
      </c>
      <c r="M213" s="101">
        <f t="shared" si="271"/>
        <v>0</v>
      </c>
      <c r="N213" s="102">
        <v>0</v>
      </c>
      <c r="O213" s="101">
        <f t="shared" si="272"/>
        <v>4.2372881355932206</v>
      </c>
      <c r="P213" s="101">
        <v>5</v>
      </c>
      <c r="Q213" s="101">
        <f t="shared" si="273"/>
        <v>0</v>
      </c>
      <c r="R213" s="100">
        <v>50.4</v>
      </c>
      <c r="S213" s="101">
        <f t="shared" si="274"/>
        <v>14.40677966101695</v>
      </c>
      <c r="T213" s="101">
        <v>17</v>
      </c>
      <c r="U213" s="101">
        <f t="shared" si="275"/>
        <v>856.8</v>
      </c>
      <c r="V213" s="101">
        <v>0</v>
      </c>
      <c r="W213" s="101">
        <v>4.2</v>
      </c>
      <c r="X213" s="101">
        <v>7</v>
      </c>
      <c r="Y213" s="101">
        <f t="shared" si="277"/>
        <v>0</v>
      </c>
      <c r="Z213" s="100">
        <v>0</v>
      </c>
      <c r="AA213" s="101">
        <f t="shared" si="266"/>
        <v>5.5084745762711869</v>
      </c>
      <c r="AB213" s="101">
        <v>6.5</v>
      </c>
      <c r="AC213" s="101">
        <f t="shared" si="278"/>
        <v>0</v>
      </c>
      <c r="AD213" s="101">
        <v>0</v>
      </c>
      <c r="AE213" s="101"/>
      <c r="AF213" s="101"/>
      <c r="AG213" s="101">
        <f t="shared" si="279"/>
        <v>0</v>
      </c>
      <c r="AH213" s="102">
        <v>0</v>
      </c>
      <c r="AI213" s="101">
        <f t="shared" si="267"/>
        <v>7.6271186440677967</v>
      </c>
      <c r="AJ213" s="110">
        <v>9</v>
      </c>
      <c r="AK213" s="101">
        <f t="shared" si="280"/>
        <v>0</v>
      </c>
      <c r="AL213" s="102">
        <v>0</v>
      </c>
      <c r="AM213" s="101">
        <f t="shared" si="281"/>
        <v>11.864406779661017</v>
      </c>
      <c r="AN213" s="101">
        <v>14</v>
      </c>
      <c r="AO213" s="101">
        <f t="shared" si="282"/>
        <v>0</v>
      </c>
      <c r="AP213" s="101">
        <f t="shared" si="261"/>
        <v>726.10169491525426</v>
      </c>
      <c r="AQ213" s="101">
        <f t="shared" si="297"/>
        <v>856.8</v>
      </c>
      <c r="AR213" s="102">
        <v>0</v>
      </c>
      <c r="AS213" s="101" t="s">
        <v>270</v>
      </c>
      <c r="AT213" s="103">
        <v>0</v>
      </c>
      <c r="AU213" s="103">
        <f t="shared" si="284"/>
        <v>5.0847457627118651</v>
      </c>
      <c r="AV213" s="103">
        <v>6</v>
      </c>
      <c r="AW213" s="103">
        <f t="shared" si="285"/>
        <v>0</v>
      </c>
      <c r="AX213" s="103">
        <f t="shared" si="289"/>
        <v>0</v>
      </c>
      <c r="AY213" s="104">
        <f t="shared" si="260"/>
        <v>726.10169491525426</v>
      </c>
      <c r="AZ213" s="105">
        <f t="shared" si="260"/>
        <v>856.8</v>
      </c>
      <c r="BA213" s="9"/>
      <c r="BB213" s="9"/>
      <c r="BC213" s="9"/>
      <c r="BD213" s="9"/>
      <c r="BE213" s="43"/>
      <c r="BF213" s="43"/>
      <c r="BG213" s="40"/>
      <c r="BH213" s="40"/>
      <c r="BI213" s="40"/>
      <c r="BJ213" s="40"/>
      <c r="BK213" s="40"/>
      <c r="BL213" s="40"/>
      <c r="BM213" s="40"/>
      <c r="BN213" s="40"/>
      <c r="BO213" s="40"/>
      <c r="BP213" s="40"/>
      <c r="BQ213" s="40"/>
      <c r="BR213" s="40"/>
      <c r="BS213" s="40"/>
      <c r="BT213" s="40"/>
      <c r="BU213" s="40"/>
      <c r="BV213" s="40"/>
      <c r="BW213" s="40"/>
      <c r="BX213" s="40"/>
      <c r="BY213" s="40"/>
      <c r="BZ213" s="40"/>
      <c r="CA213" s="40"/>
      <c r="CB213" s="40"/>
      <c r="CC213" s="40"/>
      <c r="CD213" s="40"/>
      <c r="CE213" s="40"/>
      <c r="CF213" s="40"/>
      <c r="CG213" s="40"/>
      <c r="CH213" s="40"/>
      <c r="CI213" s="40"/>
      <c r="CJ213" s="40"/>
      <c r="CK213" s="40"/>
      <c r="CL213" s="40"/>
      <c r="CM213" s="40"/>
      <c r="CN213" s="40"/>
      <c r="CO213" s="40"/>
    </row>
    <row r="214" spans="1:93" s="4" customFormat="1" ht="183" outlineLevel="1" x14ac:dyDescent="0.25">
      <c r="A214" s="97">
        <f t="shared" si="298"/>
        <v>172</v>
      </c>
      <c r="B214" s="98" t="s">
        <v>219</v>
      </c>
      <c r="C214" s="125" t="s">
        <v>231</v>
      </c>
      <c r="D214" s="99" t="s">
        <v>19</v>
      </c>
      <c r="E214" s="100">
        <f t="shared" si="295"/>
        <v>41.2</v>
      </c>
      <c r="F214" s="101">
        <v>0</v>
      </c>
      <c r="G214" s="101">
        <v>0</v>
      </c>
      <c r="H214" s="101">
        <v>0</v>
      </c>
      <c r="I214" s="101">
        <f t="shared" si="270"/>
        <v>0</v>
      </c>
      <c r="J214" s="100">
        <v>0</v>
      </c>
      <c r="K214" s="101">
        <f t="shared" si="264"/>
        <v>11.864406779661017</v>
      </c>
      <c r="L214" s="101">
        <v>14</v>
      </c>
      <c r="M214" s="101">
        <f t="shared" si="271"/>
        <v>0</v>
      </c>
      <c r="N214" s="102">
        <v>0</v>
      </c>
      <c r="O214" s="101">
        <f t="shared" si="272"/>
        <v>4.2372881355932206</v>
      </c>
      <c r="P214" s="101">
        <v>5</v>
      </c>
      <c r="Q214" s="101">
        <f t="shared" si="273"/>
        <v>0</v>
      </c>
      <c r="R214" s="100">
        <v>12.4</v>
      </c>
      <c r="S214" s="101">
        <f t="shared" si="274"/>
        <v>14.40677966101695</v>
      </c>
      <c r="T214" s="101">
        <v>17</v>
      </c>
      <c r="U214" s="101">
        <f t="shared" si="275"/>
        <v>210.8</v>
      </c>
      <c r="V214" s="101">
        <v>0</v>
      </c>
      <c r="W214" s="101">
        <f t="shared" ref="W214:W215" si="303">X214/1.18</f>
        <v>5.9322033898305087</v>
      </c>
      <c r="X214" s="101">
        <v>7</v>
      </c>
      <c r="Y214" s="101">
        <f t="shared" si="277"/>
        <v>0</v>
      </c>
      <c r="Z214" s="100">
        <v>26.8</v>
      </c>
      <c r="AA214" s="101">
        <f t="shared" si="266"/>
        <v>5.5084745762711869</v>
      </c>
      <c r="AB214" s="101">
        <v>6.5</v>
      </c>
      <c r="AC214" s="101">
        <f t="shared" si="278"/>
        <v>174.20000000000002</v>
      </c>
      <c r="AD214" s="101">
        <v>0</v>
      </c>
      <c r="AE214" s="101"/>
      <c r="AF214" s="101"/>
      <c r="AG214" s="101">
        <f t="shared" si="279"/>
        <v>0</v>
      </c>
      <c r="AH214" s="102">
        <v>0</v>
      </c>
      <c r="AI214" s="101">
        <f t="shared" si="267"/>
        <v>7.6271186440677967</v>
      </c>
      <c r="AJ214" s="110">
        <v>9</v>
      </c>
      <c r="AK214" s="101">
        <f t="shared" si="280"/>
        <v>0</v>
      </c>
      <c r="AL214" s="102">
        <v>2</v>
      </c>
      <c r="AM214" s="101">
        <f t="shared" si="281"/>
        <v>11.864406779661017</v>
      </c>
      <c r="AN214" s="101">
        <v>14</v>
      </c>
      <c r="AO214" s="101">
        <f t="shared" si="282"/>
        <v>28</v>
      </c>
      <c r="AP214" s="101">
        <f t="shared" si="261"/>
        <v>350</v>
      </c>
      <c r="AQ214" s="101">
        <f t="shared" si="297"/>
        <v>413</v>
      </c>
      <c r="AR214" s="102">
        <v>0</v>
      </c>
      <c r="AS214" s="101" t="s">
        <v>270</v>
      </c>
      <c r="AT214" s="103">
        <v>0</v>
      </c>
      <c r="AU214" s="103">
        <f t="shared" si="284"/>
        <v>5.0847457627118651</v>
      </c>
      <c r="AV214" s="103">
        <v>6</v>
      </c>
      <c r="AW214" s="103">
        <f t="shared" si="285"/>
        <v>0</v>
      </c>
      <c r="AX214" s="103">
        <f t="shared" si="289"/>
        <v>0</v>
      </c>
      <c r="AY214" s="104">
        <f t="shared" si="260"/>
        <v>350</v>
      </c>
      <c r="AZ214" s="105">
        <f t="shared" si="260"/>
        <v>413</v>
      </c>
      <c r="BA214" s="9"/>
      <c r="BB214" s="9"/>
      <c r="BC214" s="9"/>
      <c r="BD214" s="9"/>
      <c r="BE214" s="43"/>
      <c r="BF214" s="43"/>
      <c r="BG214" s="40"/>
      <c r="BH214" s="40"/>
      <c r="BI214" s="40"/>
      <c r="BJ214" s="40"/>
      <c r="BK214" s="40"/>
      <c r="BL214" s="40"/>
      <c r="BM214" s="40"/>
      <c r="BN214" s="40"/>
      <c r="BO214" s="40"/>
      <c r="BP214" s="40"/>
      <c r="BQ214" s="40"/>
      <c r="BR214" s="40"/>
      <c r="BS214" s="40"/>
      <c r="BT214" s="40"/>
      <c r="BU214" s="40"/>
      <c r="BV214" s="40"/>
      <c r="BW214" s="40"/>
      <c r="BX214" s="40"/>
      <c r="BY214" s="40"/>
      <c r="BZ214" s="40"/>
      <c r="CA214" s="40"/>
      <c r="CB214" s="40"/>
      <c r="CC214" s="40"/>
      <c r="CD214" s="40"/>
      <c r="CE214" s="40"/>
      <c r="CF214" s="40"/>
      <c r="CG214" s="40"/>
      <c r="CH214" s="40"/>
      <c r="CI214" s="40"/>
      <c r="CJ214" s="40"/>
      <c r="CK214" s="40"/>
      <c r="CL214" s="40"/>
      <c r="CM214" s="40"/>
      <c r="CN214" s="40"/>
      <c r="CO214" s="40"/>
    </row>
    <row r="215" spans="1:93" s="4" customFormat="1" ht="183" outlineLevel="1" x14ac:dyDescent="0.25">
      <c r="A215" s="97">
        <f t="shared" si="298"/>
        <v>173</v>
      </c>
      <c r="B215" s="98" t="s">
        <v>220</v>
      </c>
      <c r="C215" s="125" t="s">
        <v>247</v>
      </c>
      <c r="D215" s="99" t="s">
        <v>19</v>
      </c>
      <c r="E215" s="100">
        <f t="shared" si="295"/>
        <v>238.2</v>
      </c>
      <c r="F215" s="101">
        <v>0</v>
      </c>
      <c r="G215" s="101">
        <v>0</v>
      </c>
      <c r="H215" s="101">
        <v>0</v>
      </c>
      <c r="I215" s="101">
        <f t="shared" si="270"/>
        <v>0</v>
      </c>
      <c r="J215" s="100">
        <v>0</v>
      </c>
      <c r="K215" s="101">
        <f t="shared" si="264"/>
        <v>11.864406779661017</v>
      </c>
      <c r="L215" s="101">
        <v>14</v>
      </c>
      <c r="M215" s="101">
        <f t="shared" si="271"/>
        <v>0</v>
      </c>
      <c r="N215" s="102">
        <v>0</v>
      </c>
      <c r="O215" s="101">
        <f t="shared" si="272"/>
        <v>4.2372881355932206</v>
      </c>
      <c r="P215" s="101">
        <v>5</v>
      </c>
      <c r="Q215" s="101">
        <f t="shared" si="273"/>
        <v>0</v>
      </c>
      <c r="R215" s="100">
        <v>219.2</v>
      </c>
      <c r="S215" s="101">
        <f t="shared" si="274"/>
        <v>14.40677966101695</v>
      </c>
      <c r="T215" s="101">
        <v>17</v>
      </c>
      <c r="U215" s="101">
        <f t="shared" si="275"/>
        <v>3726.3999999999996</v>
      </c>
      <c r="V215" s="101">
        <v>0</v>
      </c>
      <c r="W215" s="101">
        <f t="shared" si="303"/>
        <v>5.9322033898305087</v>
      </c>
      <c r="X215" s="101">
        <v>7</v>
      </c>
      <c r="Y215" s="101">
        <f t="shared" si="277"/>
        <v>0</v>
      </c>
      <c r="Z215" s="100">
        <v>6.7</v>
      </c>
      <c r="AA215" s="101">
        <f t="shared" si="266"/>
        <v>5.5084745762711869</v>
      </c>
      <c r="AB215" s="101">
        <v>6.5</v>
      </c>
      <c r="AC215" s="101">
        <f t="shared" si="278"/>
        <v>43.550000000000004</v>
      </c>
      <c r="AD215" s="101">
        <v>0</v>
      </c>
      <c r="AE215" s="101"/>
      <c r="AF215" s="101"/>
      <c r="AG215" s="101">
        <f t="shared" si="279"/>
        <v>0</v>
      </c>
      <c r="AH215" s="102">
        <v>8.3000000000000007</v>
      </c>
      <c r="AI215" s="101">
        <f t="shared" si="267"/>
        <v>7.6271186440677967</v>
      </c>
      <c r="AJ215" s="110">
        <v>9</v>
      </c>
      <c r="AK215" s="101">
        <f t="shared" si="280"/>
        <v>74.7</v>
      </c>
      <c r="AL215" s="102">
        <v>4</v>
      </c>
      <c r="AM215" s="101">
        <f t="shared" si="281"/>
        <v>11.864406779661017</v>
      </c>
      <c r="AN215" s="101">
        <v>14</v>
      </c>
      <c r="AO215" s="101">
        <f t="shared" si="282"/>
        <v>56</v>
      </c>
      <c r="AP215" s="101">
        <f t="shared" si="261"/>
        <v>3305.6355932203387</v>
      </c>
      <c r="AQ215" s="101">
        <f t="shared" si="297"/>
        <v>3900.6499999999996</v>
      </c>
      <c r="AR215" s="102">
        <v>0</v>
      </c>
      <c r="AS215" s="101" t="s">
        <v>270</v>
      </c>
      <c r="AT215" s="103">
        <v>0</v>
      </c>
      <c r="AU215" s="103">
        <f t="shared" si="284"/>
        <v>5.0847457627118651</v>
      </c>
      <c r="AV215" s="103">
        <v>6</v>
      </c>
      <c r="AW215" s="103">
        <f t="shared" si="285"/>
        <v>0</v>
      </c>
      <c r="AX215" s="103">
        <f t="shared" si="289"/>
        <v>0</v>
      </c>
      <c r="AY215" s="104">
        <f t="shared" si="260"/>
        <v>3305.6355932203387</v>
      </c>
      <c r="AZ215" s="105">
        <f t="shared" si="260"/>
        <v>3900.6499999999996</v>
      </c>
      <c r="BA215" s="9"/>
      <c r="BB215" s="9"/>
      <c r="BC215" s="9"/>
      <c r="BD215" s="9"/>
      <c r="BE215" s="43"/>
      <c r="BF215" s="43"/>
      <c r="BG215" s="40"/>
      <c r="BH215" s="40"/>
      <c r="BI215" s="40"/>
      <c r="BJ215" s="40"/>
      <c r="BK215" s="40"/>
      <c r="BL215" s="40"/>
      <c r="BM215" s="40"/>
      <c r="BN215" s="40"/>
      <c r="BO215" s="40"/>
      <c r="BP215" s="40"/>
      <c r="BQ215" s="40"/>
      <c r="BR215" s="40"/>
      <c r="BS215" s="40"/>
      <c r="BT215" s="40"/>
      <c r="BU215" s="40"/>
      <c r="BV215" s="40"/>
      <c r="BW215" s="40"/>
      <c r="BX215" s="40"/>
      <c r="BY215" s="40"/>
      <c r="BZ215" s="40"/>
      <c r="CA215" s="40"/>
      <c r="CB215" s="40"/>
      <c r="CC215" s="40"/>
      <c r="CD215" s="40"/>
      <c r="CE215" s="40"/>
      <c r="CF215" s="40"/>
      <c r="CG215" s="40"/>
      <c r="CH215" s="40"/>
      <c r="CI215" s="40"/>
      <c r="CJ215" s="40"/>
      <c r="CK215" s="40"/>
      <c r="CL215" s="40"/>
      <c r="CM215" s="40"/>
      <c r="CN215" s="40"/>
      <c r="CO215" s="40"/>
    </row>
    <row r="216" spans="1:93" s="40" customFormat="1" ht="228.75" outlineLevel="1" x14ac:dyDescent="0.25">
      <c r="A216" s="97">
        <f>A215+1</f>
        <v>174</v>
      </c>
      <c r="B216" s="98" t="s">
        <v>222</v>
      </c>
      <c r="C216" s="125" t="s">
        <v>232</v>
      </c>
      <c r="D216" s="99" t="s">
        <v>19</v>
      </c>
      <c r="E216" s="100">
        <f t="shared" si="295"/>
        <v>50.8</v>
      </c>
      <c r="F216" s="101">
        <v>0</v>
      </c>
      <c r="G216" s="101">
        <v>0</v>
      </c>
      <c r="H216" s="101">
        <v>0</v>
      </c>
      <c r="I216" s="101">
        <f t="shared" si="270"/>
        <v>0</v>
      </c>
      <c r="J216" s="100">
        <v>21.2</v>
      </c>
      <c r="K216" s="101">
        <f t="shared" si="264"/>
        <v>11.864406779661017</v>
      </c>
      <c r="L216" s="101">
        <v>14</v>
      </c>
      <c r="M216" s="101">
        <f t="shared" si="271"/>
        <v>296.8</v>
      </c>
      <c r="N216" s="102">
        <v>0</v>
      </c>
      <c r="O216" s="101">
        <f t="shared" si="272"/>
        <v>4.2372881355932206</v>
      </c>
      <c r="P216" s="101">
        <v>5</v>
      </c>
      <c r="Q216" s="101">
        <f t="shared" si="273"/>
        <v>0</v>
      </c>
      <c r="R216" s="100">
        <v>29.6</v>
      </c>
      <c r="S216" s="101">
        <f t="shared" si="274"/>
        <v>14.40677966101695</v>
      </c>
      <c r="T216" s="101">
        <v>17</v>
      </c>
      <c r="U216" s="101">
        <f t="shared" si="275"/>
        <v>503.20000000000005</v>
      </c>
      <c r="V216" s="101">
        <v>0</v>
      </c>
      <c r="W216" s="101">
        <f t="shared" ref="W216:W221" si="304">X216/1.18</f>
        <v>5.9322033898305087</v>
      </c>
      <c r="X216" s="101">
        <v>7</v>
      </c>
      <c r="Y216" s="101">
        <f t="shared" si="277"/>
        <v>0</v>
      </c>
      <c r="Z216" s="100">
        <v>0</v>
      </c>
      <c r="AA216" s="101">
        <f t="shared" si="266"/>
        <v>5.5084745762711869</v>
      </c>
      <c r="AB216" s="101">
        <v>6.5</v>
      </c>
      <c r="AC216" s="101">
        <f t="shared" si="278"/>
        <v>0</v>
      </c>
      <c r="AD216" s="101">
        <v>0</v>
      </c>
      <c r="AE216" s="101"/>
      <c r="AF216" s="101"/>
      <c r="AG216" s="101">
        <f>AF216*AD216</f>
        <v>0</v>
      </c>
      <c r="AH216" s="102">
        <v>0</v>
      </c>
      <c r="AI216" s="101">
        <f t="shared" si="267"/>
        <v>7.6271186440677967</v>
      </c>
      <c r="AJ216" s="110">
        <v>9</v>
      </c>
      <c r="AK216" s="101">
        <f t="shared" si="280"/>
        <v>0</v>
      </c>
      <c r="AL216" s="102">
        <v>0</v>
      </c>
      <c r="AM216" s="101">
        <f t="shared" si="281"/>
        <v>11.864406779661017</v>
      </c>
      <c r="AN216" s="101">
        <v>14</v>
      </c>
      <c r="AO216" s="101">
        <f t="shared" si="282"/>
        <v>0</v>
      </c>
      <c r="AP216" s="101">
        <f t="shared" si="261"/>
        <v>677.96610169491532</v>
      </c>
      <c r="AQ216" s="101">
        <f t="shared" si="297"/>
        <v>800</v>
      </c>
      <c r="AR216" s="102">
        <v>0</v>
      </c>
      <c r="AS216" s="101" t="s">
        <v>270</v>
      </c>
      <c r="AT216" s="103">
        <v>0</v>
      </c>
      <c r="AU216" s="103">
        <f t="shared" si="284"/>
        <v>5.0847457627118651</v>
      </c>
      <c r="AV216" s="103">
        <v>6</v>
      </c>
      <c r="AW216" s="103">
        <f t="shared" si="285"/>
        <v>0</v>
      </c>
      <c r="AX216" s="103">
        <f t="shared" si="289"/>
        <v>0</v>
      </c>
      <c r="AY216" s="104">
        <f t="shared" si="260"/>
        <v>677.96610169491532</v>
      </c>
      <c r="AZ216" s="105">
        <f t="shared" si="260"/>
        <v>800</v>
      </c>
      <c r="BA216" s="43"/>
      <c r="BB216" s="43"/>
      <c r="BC216" s="43"/>
      <c r="BD216" s="43"/>
      <c r="BE216" s="43"/>
      <c r="BF216" s="43"/>
    </row>
    <row r="217" spans="1:93" s="40" customFormat="1" ht="228.75" outlineLevel="1" x14ac:dyDescent="0.25">
      <c r="A217" s="97">
        <f t="shared" si="298"/>
        <v>175</v>
      </c>
      <c r="B217" s="98" t="s">
        <v>223</v>
      </c>
      <c r="C217" s="125" t="s">
        <v>233</v>
      </c>
      <c r="D217" s="99" t="s">
        <v>19</v>
      </c>
      <c r="E217" s="100">
        <f t="shared" si="295"/>
        <v>7</v>
      </c>
      <c r="F217" s="101">
        <v>0</v>
      </c>
      <c r="G217" s="101">
        <v>0</v>
      </c>
      <c r="H217" s="101">
        <v>0</v>
      </c>
      <c r="I217" s="101">
        <f t="shared" si="270"/>
        <v>0</v>
      </c>
      <c r="J217" s="100">
        <f>7</f>
        <v>7</v>
      </c>
      <c r="K217" s="101">
        <f t="shared" si="264"/>
        <v>11.864406779661017</v>
      </c>
      <c r="L217" s="101">
        <v>14</v>
      </c>
      <c r="M217" s="101">
        <f t="shared" si="271"/>
        <v>98</v>
      </c>
      <c r="N217" s="102">
        <v>0</v>
      </c>
      <c r="O217" s="101">
        <f t="shared" si="272"/>
        <v>4.2372881355932206</v>
      </c>
      <c r="P217" s="101">
        <v>5</v>
      </c>
      <c r="Q217" s="101">
        <f t="shared" si="273"/>
        <v>0</v>
      </c>
      <c r="R217" s="100">
        <v>0</v>
      </c>
      <c r="S217" s="101">
        <f t="shared" si="274"/>
        <v>14.40677966101695</v>
      </c>
      <c r="T217" s="101">
        <v>17</v>
      </c>
      <c r="U217" s="101">
        <f t="shared" si="275"/>
        <v>0</v>
      </c>
      <c r="V217" s="101">
        <v>0</v>
      </c>
      <c r="W217" s="101">
        <f t="shared" si="304"/>
        <v>5.9322033898305087</v>
      </c>
      <c r="X217" s="101">
        <v>7</v>
      </c>
      <c r="Y217" s="101">
        <f t="shared" si="277"/>
        <v>0</v>
      </c>
      <c r="Z217" s="100">
        <v>0</v>
      </c>
      <c r="AA217" s="101">
        <f t="shared" si="266"/>
        <v>5.5084745762711869</v>
      </c>
      <c r="AB217" s="101">
        <v>6.5</v>
      </c>
      <c r="AC217" s="101">
        <f t="shared" si="278"/>
        <v>0</v>
      </c>
      <c r="AD217" s="101">
        <v>0</v>
      </c>
      <c r="AE217" s="101"/>
      <c r="AF217" s="101"/>
      <c r="AG217" s="101">
        <f>AF217*AD217</f>
        <v>0</v>
      </c>
      <c r="AH217" s="102">
        <v>0</v>
      </c>
      <c r="AI217" s="101">
        <f t="shared" si="267"/>
        <v>7.6271186440677967</v>
      </c>
      <c r="AJ217" s="110">
        <v>9</v>
      </c>
      <c r="AK217" s="101">
        <f t="shared" si="280"/>
        <v>0</v>
      </c>
      <c r="AL217" s="102">
        <v>0</v>
      </c>
      <c r="AM217" s="101">
        <f t="shared" si="281"/>
        <v>11.864406779661017</v>
      </c>
      <c r="AN217" s="101">
        <v>14</v>
      </c>
      <c r="AO217" s="101">
        <f t="shared" si="282"/>
        <v>0</v>
      </c>
      <c r="AP217" s="101">
        <f t="shared" si="261"/>
        <v>83.050847457627128</v>
      </c>
      <c r="AQ217" s="101">
        <f t="shared" si="297"/>
        <v>98</v>
      </c>
      <c r="AR217" s="102">
        <v>0</v>
      </c>
      <c r="AS217" s="101" t="s">
        <v>270</v>
      </c>
      <c r="AT217" s="103">
        <v>0</v>
      </c>
      <c r="AU217" s="103">
        <f t="shared" si="284"/>
        <v>5.0847457627118651</v>
      </c>
      <c r="AV217" s="103">
        <v>6</v>
      </c>
      <c r="AW217" s="103">
        <f t="shared" si="285"/>
        <v>0</v>
      </c>
      <c r="AX217" s="103">
        <f t="shared" si="289"/>
        <v>0</v>
      </c>
      <c r="AY217" s="104">
        <f t="shared" si="260"/>
        <v>83.050847457627128</v>
      </c>
      <c r="AZ217" s="105">
        <f t="shared" si="260"/>
        <v>98</v>
      </c>
      <c r="BA217" s="43"/>
      <c r="BB217" s="43"/>
      <c r="BC217" s="43"/>
      <c r="BD217" s="43"/>
      <c r="BE217" s="43"/>
      <c r="BF217" s="43"/>
    </row>
    <row r="218" spans="1:93" s="40" customFormat="1" ht="228.75" outlineLevel="1" x14ac:dyDescent="0.25">
      <c r="A218" s="97">
        <f>A217+1</f>
        <v>176</v>
      </c>
      <c r="B218" s="98" t="s">
        <v>221</v>
      </c>
      <c r="C218" s="125" t="s">
        <v>234</v>
      </c>
      <c r="D218" s="99" t="s">
        <v>19</v>
      </c>
      <c r="E218" s="100">
        <f t="shared" si="295"/>
        <v>57.300000000000004</v>
      </c>
      <c r="F218" s="101">
        <v>0</v>
      </c>
      <c r="G218" s="101">
        <v>0</v>
      </c>
      <c r="H218" s="101">
        <v>0</v>
      </c>
      <c r="I218" s="101">
        <f t="shared" si="270"/>
        <v>0</v>
      </c>
      <c r="J218" s="100">
        <v>0</v>
      </c>
      <c r="K218" s="101">
        <f t="shared" si="264"/>
        <v>11.864406779661017</v>
      </c>
      <c r="L218" s="101">
        <v>14</v>
      </c>
      <c r="M218" s="101">
        <f t="shared" si="271"/>
        <v>0</v>
      </c>
      <c r="N218" s="102">
        <v>0</v>
      </c>
      <c r="O218" s="101">
        <f t="shared" si="272"/>
        <v>4.2372881355932206</v>
      </c>
      <c r="P218" s="101">
        <v>5</v>
      </c>
      <c r="Q218" s="101">
        <f t="shared" si="273"/>
        <v>0</v>
      </c>
      <c r="R218" s="100">
        <v>51.6</v>
      </c>
      <c r="S218" s="101">
        <f t="shared" si="274"/>
        <v>14.40677966101695</v>
      </c>
      <c r="T218" s="101">
        <v>17</v>
      </c>
      <c r="U218" s="101">
        <f t="shared" si="275"/>
        <v>877.2</v>
      </c>
      <c r="V218" s="101">
        <v>0</v>
      </c>
      <c r="W218" s="101">
        <f t="shared" si="304"/>
        <v>5.9322033898305087</v>
      </c>
      <c r="X218" s="101">
        <v>7</v>
      </c>
      <c r="Y218" s="101">
        <f t="shared" si="277"/>
        <v>0</v>
      </c>
      <c r="Z218" s="100">
        <v>5.7</v>
      </c>
      <c r="AA218" s="101">
        <f t="shared" si="266"/>
        <v>5.5084745762711869</v>
      </c>
      <c r="AB218" s="101">
        <v>6.5</v>
      </c>
      <c r="AC218" s="101">
        <f>AB218*Z218</f>
        <v>37.050000000000004</v>
      </c>
      <c r="AD218" s="101">
        <v>0</v>
      </c>
      <c r="AE218" s="101"/>
      <c r="AF218" s="101"/>
      <c r="AG218" s="101">
        <f>AF218*AD218</f>
        <v>0</v>
      </c>
      <c r="AH218" s="102">
        <v>0</v>
      </c>
      <c r="AI218" s="101">
        <f t="shared" si="267"/>
        <v>7.6271186440677967</v>
      </c>
      <c r="AJ218" s="110">
        <v>9</v>
      </c>
      <c r="AK218" s="101">
        <f t="shared" si="280"/>
        <v>0</v>
      </c>
      <c r="AL218" s="102">
        <v>0</v>
      </c>
      <c r="AM218" s="101">
        <f t="shared" si="281"/>
        <v>11.864406779661017</v>
      </c>
      <c r="AN218" s="101">
        <v>14</v>
      </c>
      <c r="AO218" s="101">
        <f t="shared" si="282"/>
        <v>0</v>
      </c>
      <c r="AP218" s="101">
        <f t="shared" si="261"/>
        <v>774.78813559322043</v>
      </c>
      <c r="AQ218" s="101">
        <f t="shared" si="297"/>
        <v>914.25</v>
      </c>
      <c r="AR218" s="102">
        <v>0</v>
      </c>
      <c r="AS218" s="101" t="s">
        <v>270</v>
      </c>
      <c r="AT218" s="103">
        <v>0</v>
      </c>
      <c r="AU218" s="103">
        <f t="shared" si="284"/>
        <v>5.0847457627118651</v>
      </c>
      <c r="AV218" s="103">
        <v>6</v>
      </c>
      <c r="AW218" s="103">
        <f t="shared" si="285"/>
        <v>0</v>
      </c>
      <c r="AX218" s="103">
        <f t="shared" ref="AX218:AX219" si="305">AV218*AR218</f>
        <v>0</v>
      </c>
      <c r="AY218" s="104">
        <f t="shared" si="260"/>
        <v>774.78813559322043</v>
      </c>
      <c r="AZ218" s="105">
        <f t="shared" si="260"/>
        <v>914.25</v>
      </c>
      <c r="BA218" s="43"/>
      <c r="BB218" s="43"/>
      <c r="BC218" s="43"/>
      <c r="BD218" s="43"/>
      <c r="BE218" s="43"/>
      <c r="BF218" s="43"/>
    </row>
    <row r="219" spans="1:93" s="40" customFormat="1" ht="228.75" outlineLevel="1" x14ac:dyDescent="0.25">
      <c r="A219" s="97">
        <f t="shared" ref="A219:A221" si="306">A218+1</f>
        <v>177</v>
      </c>
      <c r="B219" s="98" t="s">
        <v>221</v>
      </c>
      <c r="C219" s="130" t="s">
        <v>264</v>
      </c>
      <c r="D219" s="99"/>
      <c r="E219" s="100">
        <f t="shared" si="295"/>
        <v>68.099999999999994</v>
      </c>
      <c r="F219" s="101">
        <v>0</v>
      </c>
      <c r="G219" s="101">
        <v>0</v>
      </c>
      <c r="H219" s="101">
        <v>0</v>
      </c>
      <c r="I219" s="101">
        <f t="shared" si="270"/>
        <v>0</v>
      </c>
      <c r="J219" s="100">
        <v>58.1</v>
      </c>
      <c r="K219" s="101">
        <f t="shared" si="264"/>
        <v>11.864406779661017</v>
      </c>
      <c r="L219" s="101">
        <v>14</v>
      </c>
      <c r="M219" s="101">
        <f t="shared" si="271"/>
        <v>813.4</v>
      </c>
      <c r="N219" s="102">
        <v>0</v>
      </c>
      <c r="O219" s="101">
        <f t="shared" si="272"/>
        <v>4.2372881355932206</v>
      </c>
      <c r="P219" s="101">
        <v>5</v>
      </c>
      <c r="Q219" s="101">
        <f t="shared" si="273"/>
        <v>0</v>
      </c>
      <c r="R219" s="100">
        <v>0</v>
      </c>
      <c r="S219" s="101">
        <f t="shared" si="274"/>
        <v>14.40677966101695</v>
      </c>
      <c r="T219" s="101">
        <v>17</v>
      </c>
      <c r="U219" s="101">
        <f t="shared" si="275"/>
        <v>0</v>
      </c>
      <c r="V219" s="101">
        <v>0</v>
      </c>
      <c r="W219" s="101">
        <f t="shared" si="304"/>
        <v>5.9322033898305087</v>
      </c>
      <c r="X219" s="101">
        <v>7</v>
      </c>
      <c r="Y219" s="101">
        <f t="shared" si="277"/>
        <v>0</v>
      </c>
      <c r="Z219" s="100">
        <v>10</v>
      </c>
      <c r="AA219" s="101">
        <f t="shared" si="266"/>
        <v>5.5084745762711869</v>
      </c>
      <c r="AB219" s="101">
        <v>6.5</v>
      </c>
      <c r="AC219" s="101">
        <f t="shared" ref="AC219:AC221" si="307">AB219*Z219</f>
        <v>65</v>
      </c>
      <c r="AD219" s="101">
        <v>0</v>
      </c>
      <c r="AE219" s="101"/>
      <c r="AF219" s="101"/>
      <c r="AG219" s="101">
        <f t="shared" ref="AG219:AG221" si="308">AF219*AD219</f>
        <v>0</v>
      </c>
      <c r="AH219" s="102">
        <v>0</v>
      </c>
      <c r="AI219" s="101">
        <f t="shared" si="267"/>
        <v>7.6271186440677967</v>
      </c>
      <c r="AJ219" s="110">
        <v>9</v>
      </c>
      <c r="AK219" s="101">
        <f t="shared" si="280"/>
        <v>0</v>
      </c>
      <c r="AL219" s="102">
        <v>0</v>
      </c>
      <c r="AM219" s="101">
        <f t="shared" si="281"/>
        <v>11.864406779661017</v>
      </c>
      <c r="AN219" s="101">
        <v>14</v>
      </c>
      <c r="AO219" s="101">
        <f t="shared" si="282"/>
        <v>0</v>
      </c>
      <c r="AP219" s="101">
        <f t="shared" si="261"/>
        <v>744.40677966101691</v>
      </c>
      <c r="AQ219" s="101">
        <f t="shared" si="297"/>
        <v>878.4</v>
      </c>
      <c r="AR219" s="102">
        <v>0</v>
      </c>
      <c r="AS219" s="101" t="s">
        <v>270</v>
      </c>
      <c r="AT219" s="103">
        <v>0</v>
      </c>
      <c r="AU219" s="103">
        <f t="shared" ref="AU219:AU221" si="309">AV219/1.18</f>
        <v>5.0847457627118651</v>
      </c>
      <c r="AV219" s="103">
        <v>6</v>
      </c>
      <c r="AW219" s="103">
        <f t="shared" ref="AW219:AW221" si="310">AU219*AR219</f>
        <v>0</v>
      </c>
      <c r="AX219" s="103">
        <f t="shared" si="305"/>
        <v>0</v>
      </c>
      <c r="AY219" s="104">
        <f t="shared" ref="AY219:AY221" si="311">AP219+AW219</f>
        <v>744.40677966101691</v>
      </c>
      <c r="AZ219" s="105">
        <f t="shared" ref="AZ219:AZ221" si="312">AQ219+AX219</f>
        <v>878.4</v>
      </c>
      <c r="BA219" s="43"/>
      <c r="BB219" s="43"/>
      <c r="BC219" s="43"/>
      <c r="BD219" s="43"/>
      <c r="BE219" s="43"/>
      <c r="BF219" s="43"/>
    </row>
    <row r="220" spans="1:93" s="40" customFormat="1" ht="183" outlineLevel="1" x14ac:dyDescent="0.25">
      <c r="A220" s="97">
        <f t="shared" si="306"/>
        <v>178</v>
      </c>
      <c r="B220" s="98" t="s">
        <v>221</v>
      </c>
      <c r="C220" s="130" t="s">
        <v>265</v>
      </c>
      <c r="D220" s="99"/>
      <c r="E220" s="100">
        <f t="shared" si="295"/>
        <v>68.099999999999994</v>
      </c>
      <c r="F220" s="101">
        <v>0</v>
      </c>
      <c r="G220" s="101">
        <v>0</v>
      </c>
      <c r="H220" s="101">
        <v>0</v>
      </c>
      <c r="I220" s="101">
        <f t="shared" si="270"/>
        <v>0</v>
      </c>
      <c r="J220" s="100">
        <v>68.099999999999994</v>
      </c>
      <c r="K220" s="101">
        <f t="shared" si="264"/>
        <v>11.864406779661017</v>
      </c>
      <c r="L220" s="101">
        <v>14</v>
      </c>
      <c r="M220" s="101">
        <f t="shared" si="271"/>
        <v>953.39999999999986</v>
      </c>
      <c r="N220" s="102">
        <v>0</v>
      </c>
      <c r="O220" s="101">
        <f t="shared" si="272"/>
        <v>4.2372881355932206</v>
      </c>
      <c r="P220" s="101">
        <v>5</v>
      </c>
      <c r="Q220" s="101">
        <f t="shared" si="273"/>
        <v>0</v>
      </c>
      <c r="R220" s="100">
        <v>0</v>
      </c>
      <c r="S220" s="101">
        <f t="shared" si="274"/>
        <v>14.40677966101695</v>
      </c>
      <c r="T220" s="101">
        <v>17</v>
      </c>
      <c r="U220" s="101">
        <f t="shared" si="275"/>
        <v>0</v>
      </c>
      <c r="V220" s="101">
        <v>0</v>
      </c>
      <c r="W220" s="101">
        <f t="shared" si="304"/>
        <v>5.9322033898305087</v>
      </c>
      <c r="X220" s="101">
        <v>7</v>
      </c>
      <c r="Y220" s="101">
        <f t="shared" si="277"/>
        <v>0</v>
      </c>
      <c r="Z220" s="100">
        <v>0</v>
      </c>
      <c r="AA220" s="101">
        <f t="shared" si="266"/>
        <v>5.5084745762711869</v>
      </c>
      <c r="AB220" s="101">
        <v>6.5</v>
      </c>
      <c r="AC220" s="101">
        <f t="shared" si="307"/>
        <v>0</v>
      </c>
      <c r="AD220" s="101">
        <v>0</v>
      </c>
      <c r="AE220" s="101"/>
      <c r="AF220" s="101"/>
      <c r="AG220" s="101">
        <f t="shared" si="308"/>
        <v>0</v>
      </c>
      <c r="AH220" s="102">
        <v>0</v>
      </c>
      <c r="AI220" s="101">
        <f t="shared" si="267"/>
        <v>7.6271186440677967</v>
      </c>
      <c r="AJ220" s="110">
        <v>9</v>
      </c>
      <c r="AK220" s="101">
        <f t="shared" si="280"/>
        <v>0</v>
      </c>
      <c r="AL220" s="102">
        <v>0</v>
      </c>
      <c r="AM220" s="101">
        <f t="shared" si="281"/>
        <v>11.864406779661017</v>
      </c>
      <c r="AN220" s="101">
        <v>14</v>
      </c>
      <c r="AO220" s="101">
        <f t="shared" si="282"/>
        <v>0</v>
      </c>
      <c r="AP220" s="101">
        <f t="shared" si="261"/>
        <v>807.96610169491521</v>
      </c>
      <c r="AQ220" s="101">
        <f t="shared" si="297"/>
        <v>953.39999999999986</v>
      </c>
      <c r="AR220" s="102">
        <v>0</v>
      </c>
      <c r="AS220" s="101" t="s">
        <v>270</v>
      </c>
      <c r="AT220" s="103">
        <v>0</v>
      </c>
      <c r="AU220" s="103">
        <f t="shared" si="309"/>
        <v>5.0847457627118651</v>
      </c>
      <c r="AV220" s="103">
        <v>6</v>
      </c>
      <c r="AW220" s="103">
        <f t="shared" si="310"/>
        <v>0</v>
      </c>
      <c r="AX220" s="103">
        <f t="shared" ref="AX220:AX221" si="313">AV220*AR220</f>
        <v>0</v>
      </c>
      <c r="AY220" s="104">
        <f t="shared" si="311"/>
        <v>807.96610169491521</v>
      </c>
      <c r="AZ220" s="105">
        <f t="shared" si="312"/>
        <v>953.39999999999986</v>
      </c>
      <c r="BA220" s="43"/>
      <c r="BB220" s="43"/>
      <c r="BC220" s="43"/>
      <c r="BD220" s="43"/>
      <c r="BE220" s="43"/>
      <c r="BF220" s="43"/>
    </row>
    <row r="221" spans="1:93" s="40" customFormat="1" ht="228.75" outlineLevel="1" x14ac:dyDescent="0.25">
      <c r="A221" s="97">
        <f t="shared" si="306"/>
        <v>179</v>
      </c>
      <c r="B221" s="98" t="s">
        <v>221</v>
      </c>
      <c r="C221" s="130" t="s">
        <v>266</v>
      </c>
      <c r="D221" s="99"/>
      <c r="E221" s="100">
        <f t="shared" si="295"/>
        <v>8</v>
      </c>
      <c r="F221" s="101">
        <v>0</v>
      </c>
      <c r="G221" s="101">
        <v>0</v>
      </c>
      <c r="H221" s="101">
        <v>0</v>
      </c>
      <c r="I221" s="101">
        <f t="shared" si="270"/>
        <v>0</v>
      </c>
      <c r="J221" s="100">
        <v>8</v>
      </c>
      <c r="K221" s="101">
        <f t="shared" si="264"/>
        <v>11.864406779661017</v>
      </c>
      <c r="L221" s="101">
        <v>14</v>
      </c>
      <c r="M221" s="101">
        <f t="shared" si="271"/>
        <v>112</v>
      </c>
      <c r="N221" s="102">
        <v>0</v>
      </c>
      <c r="O221" s="101">
        <f t="shared" si="272"/>
        <v>4.2372881355932206</v>
      </c>
      <c r="P221" s="101">
        <v>5</v>
      </c>
      <c r="Q221" s="101">
        <f t="shared" si="273"/>
        <v>0</v>
      </c>
      <c r="R221" s="100">
        <v>0</v>
      </c>
      <c r="S221" s="101">
        <f t="shared" si="274"/>
        <v>14.40677966101695</v>
      </c>
      <c r="T221" s="101">
        <v>17</v>
      </c>
      <c r="U221" s="101">
        <f t="shared" si="275"/>
        <v>0</v>
      </c>
      <c r="V221" s="101">
        <v>0</v>
      </c>
      <c r="W221" s="101">
        <f t="shared" si="304"/>
        <v>5.9322033898305087</v>
      </c>
      <c r="X221" s="101">
        <v>7</v>
      </c>
      <c r="Y221" s="101">
        <f t="shared" si="277"/>
        <v>0</v>
      </c>
      <c r="Z221" s="100">
        <v>0</v>
      </c>
      <c r="AA221" s="101">
        <f t="shared" si="266"/>
        <v>5.5084745762711869</v>
      </c>
      <c r="AB221" s="101">
        <v>6.5</v>
      </c>
      <c r="AC221" s="101">
        <f t="shared" si="307"/>
        <v>0</v>
      </c>
      <c r="AD221" s="101">
        <v>0</v>
      </c>
      <c r="AE221" s="101"/>
      <c r="AF221" s="101"/>
      <c r="AG221" s="101">
        <f t="shared" si="308"/>
        <v>0</v>
      </c>
      <c r="AH221" s="102">
        <v>0</v>
      </c>
      <c r="AI221" s="101">
        <f t="shared" si="267"/>
        <v>7.6271186440677967</v>
      </c>
      <c r="AJ221" s="110">
        <v>9</v>
      </c>
      <c r="AK221" s="101">
        <f t="shared" si="280"/>
        <v>0</v>
      </c>
      <c r="AL221" s="102">
        <v>0</v>
      </c>
      <c r="AM221" s="101">
        <f t="shared" si="281"/>
        <v>11.864406779661017</v>
      </c>
      <c r="AN221" s="101">
        <v>14</v>
      </c>
      <c r="AO221" s="101">
        <f t="shared" si="282"/>
        <v>0</v>
      </c>
      <c r="AP221" s="101">
        <f t="shared" si="261"/>
        <v>94.915254237288138</v>
      </c>
      <c r="AQ221" s="101">
        <f t="shared" si="297"/>
        <v>112</v>
      </c>
      <c r="AR221" s="102">
        <v>0</v>
      </c>
      <c r="AS221" s="101" t="s">
        <v>270</v>
      </c>
      <c r="AT221" s="103">
        <v>0</v>
      </c>
      <c r="AU221" s="103">
        <f t="shared" si="309"/>
        <v>5.0847457627118651</v>
      </c>
      <c r="AV221" s="103">
        <v>6</v>
      </c>
      <c r="AW221" s="103">
        <f t="shared" si="310"/>
        <v>0</v>
      </c>
      <c r="AX221" s="103">
        <f t="shared" si="313"/>
        <v>0</v>
      </c>
      <c r="AY221" s="104">
        <f t="shared" si="311"/>
        <v>94.915254237288138</v>
      </c>
      <c r="AZ221" s="105">
        <f t="shared" si="312"/>
        <v>112</v>
      </c>
      <c r="BA221" s="43"/>
      <c r="BB221" s="43"/>
      <c r="BC221" s="43"/>
      <c r="BD221" s="43"/>
      <c r="BE221" s="43"/>
      <c r="BF221" s="43"/>
    </row>
    <row r="222" spans="1:93" ht="45" x14ac:dyDescent="0.6">
      <c r="A222" s="158" t="s">
        <v>224</v>
      </c>
      <c r="B222" s="159"/>
      <c r="C222" s="160"/>
      <c r="D222" s="123"/>
      <c r="E222" s="124">
        <f>SUM(E12:E221)</f>
        <v>120435.35</v>
      </c>
      <c r="F222" s="124">
        <f t="shared" ref="F222:AY222" si="314">SUM(F12:F221)</f>
        <v>0</v>
      </c>
      <c r="G222" s="124"/>
      <c r="H222" s="124"/>
      <c r="I222" s="124">
        <f t="shared" si="314"/>
        <v>0</v>
      </c>
      <c r="J222" s="124">
        <f t="shared" si="314"/>
        <v>30503.739999999991</v>
      </c>
      <c r="K222" s="124"/>
      <c r="L222" s="124"/>
      <c r="M222" s="124">
        <f t="shared" si="314"/>
        <v>427052.36000000016</v>
      </c>
      <c r="N222" s="124">
        <f t="shared" si="314"/>
        <v>26750.010000000006</v>
      </c>
      <c r="O222" s="124"/>
      <c r="P222" s="124"/>
      <c r="Q222" s="124">
        <f t="shared" si="314"/>
        <v>133750.04999999999</v>
      </c>
      <c r="R222" s="124">
        <f t="shared" si="314"/>
        <v>4473.96</v>
      </c>
      <c r="S222" s="124"/>
      <c r="T222" s="124"/>
      <c r="U222" s="124">
        <f t="shared" si="314"/>
        <v>76057.320000000007</v>
      </c>
      <c r="V222" s="124">
        <f t="shared" si="314"/>
        <v>5364.5</v>
      </c>
      <c r="W222" s="124"/>
      <c r="X222" s="124"/>
      <c r="Y222" s="124">
        <f t="shared" si="314"/>
        <v>37551.500000000015</v>
      </c>
      <c r="Z222" s="124">
        <f t="shared" si="314"/>
        <v>29781.239999999987</v>
      </c>
      <c r="AA222" s="124"/>
      <c r="AB222" s="124"/>
      <c r="AC222" s="124">
        <f t="shared" si="314"/>
        <v>193578.05999999988</v>
      </c>
      <c r="AD222" s="124">
        <f t="shared" si="314"/>
        <v>0</v>
      </c>
      <c r="AE222" s="124"/>
      <c r="AF222" s="124"/>
      <c r="AG222" s="124">
        <f t="shared" si="314"/>
        <v>0</v>
      </c>
      <c r="AH222" s="124">
        <f t="shared" si="314"/>
        <v>21066.199999999997</v>
      </c>
      <c r="AI222" s="124"/>
      <c r="AJ222" s="124"/>
      <c r="AK222" s="124">
        <f t="shared" si="314"/>
        <v>189595.80000000002</v>
      </c>
      <c r="AL222" s="124">
        <f t="shared" si="314"/>
        <v>2495.6999999999998</v>
      </c>
      <c r="AM222" s="124"/>
      <c r="AN222" s="124"/>
      <c r="AO222" s="124">
        <f t="shared" si="314"/>
        <v>34862.80000000001</v>
      </c>
      <c r="AP222" s="124">
        <f t="shared" si="314"/>
        <v>925803.29661016865</v>
      </c>
      <c r="AQ222" s="124">
        <f t="shared" si="314"/>
        <v>1092447.8899999999</v>
      </c>
      <c r="AR222" s="124">
        <f t="shared" si="314"/>
        <v>112388.87999999999</v>
      </c>
      <c r="AS222" s="124"/>
      <c r="AT222" s="124">
        <f t="shared" si="314"/>
        <v>0</v>
      </c>
      <c r="AU222" s="124"/>
      <c r="AV222" s="124"/>
      <c r="AW222" s="124">
        <f t="shared" si="314"/>
        <v>571468.88135593245</v>
      </c>
      <c r="AX222" s="124">
        <f t="shared" si="314"/>
        <v>674333.28</v>
      </c>
      <c r="AY222" s="124">
        <f t="shared" si="314"/>
        <v>1497272.1779661016</v>
      </c>
      <c r="AZ222" s="124">
        <f>SUM(AZ12:AZ221)</f>
        <v>1766781.1699999992</v>
      </c>
      <c r="BB222" s="83"/>
      <c r="BC222" s="55"/>
      <c r="BE222" s="55"/>
      <c r="BF222" s="55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</row>
    <row r="223" spans="1:93" ht="21" x14ac:dyDescent="0.35">
      <c r="J223" s="1"/>
      <c r="N223" s="1"/>
      <c r="R223" s="1"/>
      <c r="V223" s="1"/>
      <c r="Z223" s="1"/>
      <c r="AD223" s="1"/>
      <c r="AH223" s="1"/>
      <c r="AL223" s="1"/>
      <c r="AP223" s="23"/>
      <c r="AQ223" s="23"/>
      <c r="AR223" s="1"/>
      <c r="AS223" s="1"/>
      <c r="AT223" s="1"/>
      <c r="AU223" s="1"/>
      <c r="AV223" s="1"/>
      <c r="AW223" s="6"/>
      <c r="AX223" s="6"/>
      <c r="AY223" s="84"/>
      <c r="AZ223" s="85"/>
      <c r="BA223" s="80"/>
      <c r="BB223" s="55"/>
      <c r="BC223" s="55"/>
    </row>
    <row r="224" spans="1:93" ht="21" x14ac:dyDescent="0.35">
      <c r="F224" s="21"/>
      <c r="AY224" s="79"/>
      <c r="AZ224" s="78"/>
      <c r="BA224" s="81"/>
      <c r="BB224" s="82"/>
      <c r="BC224" s="55"/>
    </row>
    <row r="225" spans="3:54" ht="18.75" x14ac:dyDescent="0.3">
      <c r="F225" s="21"/>
      <c r="H225" s="3"/>
      <c r="I225" s="3"/>
      <c r="N225" s="21"/>
      <c r="AP225" s="76"/>
      <c r="AQ225" s="76"/>
      <c r="AW225" s="76"/>
      <c r="AX225" s="76"/>
      <c r="AY225" s="86"/>
      <c r="AZ225" s="78"/>
      <c r="BA225" s="77"/>
      <c r="BB225" s="55"/>
    </row>
    <row r="226" spans="3:54" ht="21" x14ac:dyDescent="0.35">
      <c r="E226" s="3">
        <f>SUM(E12:E225)</f>
        <v>240870.7</v>
      </c>
      <c r="AY226" s="89"/>
      <c r="AZ226" s="81"/>
      <c r="BA226" s="7"/>
      <c r="BB226" s="55"/>
    </row>
    <row r="227" spans="3:54" x14ac:dyDescent="0.25">
      <c r="H227" s="24"/>
      <c r="AY227" s="7"/>
      <c r="AZ227" s="77"/>
      <c r="BA227" s="7"/>
      <c r="BB227" s="55"/>
    </row>
    <row r="228" spans="3:54" ht="18.75" x14ac:dyDescent="0.3">
      <c r="AY228" s="7"/>
      <c r="AZ228" s="78"/>
      <c r="BA228" s="7"/>
      <c r="BB228" s="55"/>
    </row>
    <row r="229" spans="3:54" ht="20.25" x14ac:dyDescent="0.25"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AY229" s="7"/>
      <c r="AZ229" s="77"/>
      <c r="BA229" s="7"/>
      <c r="BB229" s="55"/>
    </row>
    <row r="230" spans="3:54" ht="20.25" x14ac:dyDescent="0.25">
      <c r="C230" s="157"/>
      <c r="D230" s="157"/>
      <c r="E230" s="18"/>
      <c r="F230" s="19"/>
      <c r="G230" s="20"/>
      <c r="H230" s="20"/>
      <c r="I230" s="157"/>
      <c r="J230" s="157"/>
      <c r="K230" s="157"/>
      <c r="L230" s="157"/>
      <c r="M230" s="157"/>
      <c r="N230" s="157"/>
      <c r="P230" s="17"/>
      <c r="Q230" s="52"/>
      <c r="R230" s="17"/>
      <c r="AY230" s="7"/>
      <c r="AZ230" s="77"/>
      <c r="BA230" s="7"/>
      <c r="BB230" s="55"/>
    </row>
    <row r="231" spans="3:54" ht="20.25" x14ac:dyDescent="0.25">
      <c r="C231" s="52"/>
      <c r="D231" s="17"/>
      <c r="E231" s="19"/>
      <c r="F231" s="18"/>
      <c r="G231" s="20"/>
      <c r="H231" s="20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AY231" s="7"/>
      <c r="AZ231" s="77"/>
      <c r="BA231" s="7"/>
      <c r="BB231" s="55"/>
    </row>
    <row r="232" spans="3:54" ht="20.25" x14ac:dyDescent="0.25">
      <c r="C232" s="156"/>
      <c r="D232" s="156"/>
      <c r="E232" s="19"/>
      <c r="F232" s="19"/>
      <c r="G232" s="20"/>
      <c r="H232" s="20"/>
      <c r="I232" s="161"/>
      <c r="J232" s="161"/>
      <c r="K232" s="161"/>
      <c r="L232" s="161"/>
      <c r="M232" s="161"/>
      <c r="N232" s="161"/>
      <c r="O232" s="56"/>
      <c r="P232" s="56"/>
      <c r="Q232" s="56"/>
      <c r="R232" s="56"/>
      <c r="AY232" s="7"/>
      <c r="AZ232" s="77"/>
      <c r="BA232" s="7"/>
      <c r="BB232" s="55"/>
    </row>
    <row r="233" spans="3:54" ht="20.25" x14ac:dyDescent="0.25">
      <c r="C233" s="156"/>
      <c r="D233" s="156"/>
      <c r="E233" s="19"/>
      <c r="F233" s="19"/>
      <c r="G233" s="20"/>
      <c r="H233" s="20"/>
      <c r="I233" s="161"/>
      <c r="J233" s="161"/>
      <c r="K233" s="161"/>
      <c r="L233" s="161"/>
      <c r="M233" s="161"/>
      <c r="N233" s="161"/>
      <c r="O233" s="56"/>
      <c r="P233" s="56"/>
      <c r="Q233" s="56"/>
      <c r="R233" s="56"/>
    </row>
    <row r="234" spans="3:54" ht="20.25" x14ac:dyDescent="0.3">
      <c r="C234" s="53"/>
      <c r="E234" s="19"/>
      <c r="F234" s="19"/>
      <c r="G234" s="20"/>
      <c r="H234" s="20"/>
      <c r="M234" s="57"/>
      <c r="N234" s="57"/>
      <c r="O234" s="57"/>
      <c r="P234" s="57"/>
      <c r="Q234" s="57"/>
      <c r="R234" s="57"/>
    </row>
    <row r="235" spans="3:54" ht="20.25" x14ac:dyDescent="0.25">
      <c r="C235" s="156"/>
      <c r="D235" s="156"/>
      <c r="E235" s="19"/>
      <c r="F235" s="19"/>
      <c r="G235" s="20"/>
      <c r="H235" s="20"/>
      <c r="I235" s="57"/>
      <c r="J235" s="57"/>
      <c r="K235" s="57"/>
      <c r="L235" s="57"/>
      <c r="M235" s="57"/>
      <c r="N235" s="57"/>
      <c r="O235" s="57"/>
      <c r="P235" s="57"/>
      <c r="Q235" s="57"/>
      <c r="R235" s="57"/>
    </row>
    <row r="236" spans="3:54" ht="15.75" x14ac:dyDescent="0.25">
      <c r="C236" s="51"/>
      <c r="E236" s="2"/>
      <c r="F236" s="2"/>
      <c r="G236" s="3"/>
      <c r="I236" s="51"/>
      <c r="J236" s="1"/>
      <c r="N236" s="1"/>
    </row>
  </sheetData>
  <mergeCells count="70">
    <mergeCell ref="A102:C102"/>
    <mergeCell ref="A111:C111"/>
    <mergeCell ref="A112:C112"/>
    <mergeCell ref="A120:C120"/>
    <mergeCell ref="A124:C124"/>
    <mergeCell ref="A64:C64"/>
    <mergeCell ref="A73:C73"/>
    <mergeCell ref="A92:C92"/>
    <mergeCell ref="A98:C98"/>
    <mergeCell ref="A99:C99"/>
    <mergeCell ref="A11:C11"/>
    <mergeCell ref="A42:C42"/>
    <mergeCell ref="A54:C54"/>
    <mergeCell ref="A63:C63"/>
    <mergeCell ref="AS8:AS9"/>
    <mergeCell ref="E8:E9"/>
    <mergeCell ref="D8:D9"/>
    <mergeCell ref="A7:A9"/>
    <mergeCell ref="B7:D7"/>
    <mergeCell ref="AW7:AW9"/>
    <mergeCell ref="AX7:AX9"/>
    <mergeCell ref="F8:AO8"/>
    <mergeCell ref="AZ7:AZ9"/>
    <mergeCell ref="B8:B9"/>
    <mergeCell ref="C8:C9"/>
    <mergeCell ref="AR7:AT7"/>
    <mergeCell ref="AP7:AP9"/>
    <mergeCell ref="AQ7:AQ9"/>
    <mergeCell ref="AY7:AY9"/>
    <mergeCell ref="E7:AN7"/>
    <mergeCell ref="AR8:AR9"/>
    <mergeCell ref="C232:D232"/>
    <mergeCell ref="C235:D235"/>
    <mergeCell ref="C233:D233"/>
    <mergeCell ref="C230:D230"/>
    <mergeCell ref="I231:J231"/>
    <mergeCell ref="I232:N233"/>
    <mergeCell ref="I230:N230"/>
    <mergeCell ref="A194:C194"/>
    <mergeCell ref="A145:C145"/>
    <mergeCell ref="Q231:R231"/>
    <mergeCell ref="I229:J229"/>
    <mergeCell ref="K229:L229"/>
    <mergeCell ref="M229:N229"/>
    <mergeCell ref="O229:P229"/>
    <mergeCell ref="Q229:R229"/>
    <mergeCell ref="K231:L231"/>
    <mergeCell ref="M231:N231"/>
    <mergeCell ref="O231:P231"/>
    <mergeCell ref="A147:C147"/>
    <mergeCell ref="A149:C149"/>
    <mergeCell ref="A151:C151"/>
    <mergeCell ref="A222:C222"/>
    <mergeCell ref="A175:C175"/>
    <mergeCell ref="AV1:AZ1"/>
    <mergeCell ref="A178:C178"/>
    <mergeCell ref="A155:C155"/>
    <mergeCell ref="A158:C158"/>
    <mergeCell ref="A163:C163"/>
    <mergeCell ref="A167:C167"/>
    <mergeCell ref="A128:C128"/>
    <mergeCell ref="A129:C129"/>
    <mergeCell ref="A137:C137"/>
    <mergeCell ref="A141:C141"/>
    <mergeCell ref="A172:C172"/>
    <mergeCell ref="A153:C153"/>
    <mergeCell ref="A5:AZ6"/>
    <mergeCell ref="AT8:AT9"/>
    <mergeCell ref="AU7:AU9"/>
    <mergeCell ref="AV7:AV9"/>
  </mergeCells>
  <phoneticPr fontId="0" type="noConversion"/>
  <printOptions horizontalCentered="1"/>
  <pageMargins left="0.19685039370078741" right="0.19685039370078741" top="0.98425196850393704" bottom="0.19685039370078741" header="0" footer="0"/>
  <pageSetup paperSize="9" scale="10" orientation="landscape" r:id="rId1"/>
  <rowBreaks count="2" manualBreakCount="2">
    <brk id="180" min="2" max="51" man="1"/>
    <brk id="235" min="2" max="51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BAD93C6E97184AB4134112F04B867D" ma:contentTypeVersion="0" ma:contentTypeDescription="Создание документа." ma:contentTypeScope="" ma:versionID="ed27ed35a32f4d681b4b2f3806c0396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E73C25-AB03-417C-99B7-C5BBED2AB1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0D3FB3-BA3D-49A8-9735-AD981A028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9DF12F-8BE8-4ADA-A58E-EEB459EBF785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Уборка</vt:lpstr>
      <vt:lpstr>Уборка!Заголовки_для_печати</vt:lpstr>
      <vt:lpstr>Уборка!Область_печати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 Андрей Владимирович</dc:creator>
  <cp:lastModifiedBy>Данилова Татьяна Владимировна</cp:lastModifiedBy>
  <cp:lastPrinted>2018-01-24T11:05:36Z</cp:lastPrinted>
  <dcterms:created xsi:type="dcterms:W3CDTF">2011-06-09T11:01:46Z</dcterms:created>
  <dcterms:modified xsi:type="dcterms:W3CDTF">2018-01-24T11:08:20Z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0x0101006FBAD93C6E97184AB4134112F04B867D</vt:lpwstr>
  </property>
  <property fmtid="{D5CDD505-2E9C-101B-9397-08002B2CF9AE}" pid="3" name="SV_QUERY_LIST_4F35BF76-6C0D-4D9B-82B2-816C12CF3733">
    <vt:lpwstr>empty_477D106A-C0D6-4607-AEBD-E2C9D60EA279</vt:lpwstr>
  </property>
</Properties>
</file>